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2270"/>
  </bookViews>
  <sheets>
    <sheet name="Целевые показатели " sheetId="1" r:id="rId1"/>
    <sheet name="Приложение_1_Ввод_мощностей_КОР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Приложение_1_Ввод_мощностей_КОР!$A$12:$N$52</definedName>
    <definedName name="ip_list_vo">[1]TEHSHEET!$V$2</definedName>
    <definedName name="договоры">[2]контрагенты!$B$2:$B$1000</definedName>
    <definedName name="_xlnm.Print_Titles" localSheetId="1">Приложение_1_Ввод_мощностей_КОР!$9:$11</definedName>
    <definedName name="контрагенты">[3]контрагенты!$A$2:$A$1000</definedName>
    <definedName name="_xlnm.Print_Area" localSheetId="1">Приложение_1_Ввод_мощностей_КОР!$A$1:$K$50</definedName>
    <definedName name="_xlnm.Print_Area" localSheetId="0">'Целевые показатели '!$A$1:$U$47</definedName>
  </definedNames>
  <calcPr calcId="144525"/>
</workbook>
</file>

<file path=xl/calcChain.xml><?xml version="1.0" encoding="utf-8"?>
<calcChain xmlns="http://schemas.openxmlformats.org/spreadsheetml/2006/main">
  <c r="O46" i="1" l="1"/>
  <c r="P46" i="1" s="1"/>
  <c r="P18" i="1"/>
  <c r="P16" i="1" s="1"/>
  <c r="O18" i="1"/>
  <c r="O16" i="1" s="1"/>
  <c r="P17" i="1"/>
  <c r="O17" i="1"/>
  <c r="P13" i="1"/>
  <c r="O13" i="1"/>
  <c r="P10" i="1"/>
  <c r="O10" i="1"/>
  <c r="P9" i="1"/>
  <c r="O9" i="1"/>
  <c r="P6" i="1"/>
  <c r="O6" i="1"/>
  <c r="K43" i="1" l="1"/>
  <c r="L43" i="1" s="1"/>
  <c r="J42" i="1"/>
  <c r="K42" i="1" s="1"/>
  <c r="L42" i="1" s="1"/>
  <c r="M42" i="1" s="1"/>
  <c r="N42" i="1" s="1"/>
  <c r="O42" i="1" s="1"/>
  <c r="P42" i="1" s="1"/>
  <c r="I21" i="1"/>
  <c r="J18" i="1"/>
  <c r="J17" i="1"/>
  <c r="J16" i="1" l="1"/>
  <c r="I14" i="1" l="1"/>
  <c r="J14" i="1"/>
  <c r="K15" i="1" l="1"/>
  <c r="J12" i="1" l="1"/>
  <c r="I9" i="1"/>
  <c r="J11" i="1"/>
  <c r="J10" i="1"/>
  <c r="K10" i="1"/>
  <c r="L10" i="1"/>
  <c r="M10" i="1"/>
  <c r="N10" i="1"/>
  <c r="J8" i="1" l="1"/>
  <c r="J7" i="1"/>
  <c r="K6" i="1"/>
  <c r="L6" i="1"/>
  <c r="J6" i="1" l="1"/>
  <c r="N6" i="1"/>
  <c r="M6" i="1"/>
  <c r="E28" i="1" l="1"/>
  <c r="N28" i="1" s="1"/>
  <c r="E27" i="1"/>
  <c r="N27" i="1" s="1"/>
  <c r="E26" i="1"/>
  <c r="L26" i="1" s="1"/>
  <c r="L15" i="1" s="1"/>
  <c r="E25" i="1"/>
  <c r="M25" i="1" s="1"/>
  <c r="M15" i="1" l="1"/>
  <c r="I41" i="1"/>
  <c r="E59" i="1"/>
  <c r="N59" i="1" s="1"/>
  <c r="E58" i="1"/>
  <c r="N58" i="1" s="1"/>
  <c r="E57" i="1"/>
  <c r="M57" i="1" s="1"/>
  <c r="E56" i="1"/>
  <c r="N56" i="1" s="1"/>
  <c r="E55" i="1"/>
  <c r="M55" i="1" s="1"/>
  <c r="E54" i="1"/>
  <c r="N54" i="1" s="1"/>
  <c r="E53" i="1"/>
  <c r="N53" i="1" s="1"/>
  <c r="E52" i="1"/>
  <c r="N52" i="1" s="1"/>
  <c r="E51" i="1"/>
  <c r="M51" i="1" s="1"/>
  <c r="E50" i="1"/>
  <c r="N50" i="1" s="1"/>
  <c r="M60" i="1" l="1"/>
  <c r="M43" i="1" s="1"/>
  <c r="N60" i="1"/>
  <c r="E60" i="1"/>
  <c r="N43" i="1" l="1"/>
  <c r="O43" i="1" s="1"/>
  <c r="J41" i="1"/>
  <c r="O41" i="1" l="1"/>
  <c r="P43" i="1"/>
  <c r="P41" i="1" s="1"/>
  <c r="N18" i="1"/>
  <c r="M18" i="1"/>
  <c r="L18" i="1"/>
  <c r="K18" i="1"/>
  <c r="N17" i="1"/>
  <c r="M17" i="1"/>
  <c r="L17" i="1"/>
  <c r="K17" i="1"/>
  <c r="H9" i="1"/>
  <c r="L16" i="1" l="1"/>
  <c r="M16" i="1"/>
  <c r="N16" i="1"/>
  <c r="K16" i="1"/>
  <c r="I47" i="1"/>
  <c r="H41" i="1"/>
  <c r="I12" i="1"/>
  <c r="H12" i="1"/>
  <c r="I16" i="1"/>
  <c r="H45" i="1"/>
  <c r="H20" i="1" l="1"/>
  <c r="H21" i="1" s="1"/>
  <c r="H16" i="1"/>
  <c r="J45" i="1" l="1"/>
  <c r="K45" i="1" s="1"/>
  <c r="L45" i="1" s="1"/>
  <c r="M45" i="1" s="1"/>
  <c r="N45" i="1" s="1"/>
  <c r="J20" i="1"/>
  <c r="K20" i="1" s="1"/>
  <c r="L20" i="1" s="1"/>
  <c r="M20" i="1" s="1"/>
  <c r="N20" i="1" s="1"/>
  <c r="O20" i="1" s="1"/>
  <c r="P20" i="1" s="1"/>
  <c r="J19" i="1"/>
  <c r="Q45" i="1" l="1"/>
  <c r="R45" i="1" s="1"/>
  <c r="S45" i="1" s="1"/>
  <c r="T45" i="1" s="1"/>
  <c r="U45" i="1" s="1"/>
  <c r="O45" i="1"/>
  <c r="K19" i="1"/>
  <c r="L19" i="1" s="1"/>
  <c r="M19" i="1" s="1"/>
  <c r="M21" i="1" s="1"/>
  <c r="J21" i="1"/>
  <c r="O47" i="1" l="1"/>
  <c r="P45" i="1"/>
  <c r="P47" i="1" s="1"/>
  <c r="N19" i="1"/>
  <c r="L21" i="1"/>
  <c r="E29" i="1"/>
  <c r="N29" i="1" s="1"/>
  <c r="N15" i="1" s="1"/>
  <c r="O15" i="1" s="1"/>
  <c r="P15" i="1" s="1"/>
  <c r="N21" i="1" l="1"/>
  <c r="O19" i="1"/>
  <c r="Q15" i="1"/>
  <c r="R15" i="1" s="1"/>
  <c r="S15" i="1" s="1"/>
  <c r="T15" i="1" s="1"/>
  <c r="U15" i="1" s="1"/>
  <c r="K21" i="1"/>
  <c r="P19" i="1" l="1"/>
  <c r="P21" i="1" s="1"/>
  <c r="O21" i="1"/>
  <c r="O12" i="1"/>
  <c r="P12" i="1"/>
  <c r="U11" i="1"/>
  <c r="T11" i="1"/>
  <c r="S11" i="1"/>
  <c r="R11" i="1"/>
  <c r="Q11" i="1"/>
  <c r="U10" i="1"/>
  <c r="T10" i="1"/>
  <c r="S10" i="1"/>
  <c r="R10" i="1"/>
  <c r="Q10" i="1"/>
  <c r="Q7" i="1"/>
  <c r="Q6" i="1" s="1"/>
  <c r="N9" i="1"/>
  <c r="M9" i="1"/>
  <c r="L9" i="1"/>
  <c r="K9" i="1"/>
  <c r="J9" i="1"/>
  <c r="G9" i="1"/>
  <c r="F9" i="1"/>
  <c r="H47" i="1" l="1"/>
  <c r="H6" i="1"/>
  <c r="U9" i="1" l="1"/>
  <c r="Q9" i="1"/>
  <c r="S9" i="1"/>
  <c r="T9" i="1"/>
  <c r="R9" i="1"/>
  <c r="Q42" i="1"/>
  <c r="R42" i="1" l="1"/>
  <c r="N13" i="1"/>
  <c r="H13" i="1"/>
  <c r="Q21" i="1" l="1"/>
  <c r="F6" i="1"/>
  <c r="Q44" i="1" l="1"/>
  <c r="U44" i="1"/>
  <c r="T44" i="1"/>
  <c r="S44" i="1"/>
  <c r="R44" i="1"/>
  <c r="M41" i="1" l="1"/>
  <c r="N41" i="1"/>
  <c r="K41" i="1"/>
  <c r="L41" i="1"/>
  <c r="G6" i="1" l="1"/>
  <c r="F41" i="1" l="1"/>
  <c r="G41" i="1"/>
  <c r="F12" i="1"/>
  <c r="G12" i="1"/>
  <c r="S41" i="1" l="1"/>
  <c r="R41" i="1"/>
  <c r="T41" i="1"/>
  <c r="Q41" i="1"/>
  <c r="U41" i="1"/>
  <c r="K47" i="1" l="1"/>
  <c r="R47" i="1" s="1"/>
  <c r="J47" i="1"/>
  <c r="Q47" i="1" s="1"/>
  <c r="L47" i="1" l="1"/>
  <c r="S47" i="1" s="1"/>
  <c r="N47" i="1" l="1"/>
  <c r="U47" i="1" s="1"/>
  <c r="M47" i="1"/>
  <c r="T47" i="1" s="1"/>
  <c r="Q46" i="1" l="1"/>
  <c r="S42" i="1"/>
  <c r="T42" i="1"/>
  <c r="S43" i="1"/>
  <c r="U42" i="1"/>
  <c r="T43" i="1"/>
  <c r="Q43" i="1"/>
  <c r="U43" i="1"/>
  <c r="R43" i="1"/>
  <c r="R46" i="1"/>
  <c r="S46" i="1"/>
  <c r="T46" i="1"/>
  <c r="U46" i="1"/>
  <c r="G70" i="2"/>
  <c r="K56" i="2"/>
  <c r="K62" i="2" s="1"/>
  <c r="K49" i="2"/>
  <c r="G49" i="2"/>
  <c r="K48" i="2" s="1"/>
  <c r="G48" i="2" s="1"/>
  <c r="K47" i="2"/>
  <c r="G47" i="2" s="1"/>
  <c r="K46" i="2"/>
  <c r="G46" i="2" s="1"/>
  <c r="L45" i="2"/>
  <c r="K45" i="2" s="1"/>
  <c r="G45" i="2"/>
  <c r="L44" i="2"/>
  <c r="K44" i="2"/>
  <c r="G44" i="2" s="1"/>
  <c r="K43" i="2" s="1"/>
  <c r="G43" i="2"/>
  <c r="K42" i="2" s="1"/>
  <c r="G42" i="2" s="1"/>
  <c r="K41" i="2"/>
  <c r="G41" i="2"/>
  <c r="K40" i="2"/>
  <c r="G40" i="2"/>
  <c r="K39" i="2"/>
  <c r="G39" i="2"/>
  <c r="K38" i="2"/>
  <c r="G38" i="2"/>
  <c r="K37" i="2"/>
  <c r="G37" i="2"/>
  <c r="K36" i="2" s="1"/>
  <c r="G36" i="2" s="1"/>
  <c r="K35" i="2"/>
  <c r="G35" i="2" s="1"/>
  <c r="K34" i="2"/>
  <c r="G34" i="2"/>
  <c r="K33" i="2" s="1"/>
  <c r="G33" i="2" s="1"/>
  <c r="K32" i="2"/>
  <c r="G32" i="2"/>
  <c r="K31" i="2" s="1"/>
  <c r="G31" i="2" s="1"/>
  <c r="K30" i="2"/>
  <c r="G30" i="2" s="1"/>
  <c r="K29" i="2"/>
  <c r="G29" i="2" s="1"/>
  <c r="K28" i="2" s="1"/>
  <c r="G28" i="2"/>
  <c r="K27" i="2" s="1"/>
  <c r="G27" i="2"/>
  <c r="K26" i="2" s="1"/>
  <c r="G26" i="2"/>
  <c r="K25" i="2"/>
  <c r="G25" i="2" s="1"/>
  <c r="L24" i="2"/>
  <c r="K24" i="2"/>
  <c r="G24" i="2" s="1"/>
  <c r="L23" i="2"/>
  <c r="K23" i="2"/>
  <c r="G23" i="2" s="1"/>
  <c r="K22" i="2"/>
  <c r="G22" i="2" s="1"/>
  <c r="L21" i="2"/>
  <c r="K21" i="2"/>
  <c r="G21" i="2" s="1"/>
  <c r="K20" i="2"/>
  <c r="G20" i="2" s="1"/>
  <c r="K19" i="2"/>
  <c r="G19" i="2" s="1"/>
  <c r="L18" i="2"/>
  <c r="K18" i="2" s="1"/>
  <c r="G18" i="2"/>
  <c r="L17" i="2"/>
  <c r="K17" i="2" s="1"/>
  <c r="G17" i="2"/>
  <c r="K16" i="2"/>
  <c r="G16" i="2" s="1"/>
  <c r="L15" i="2"/>
  <c r="K15" i="2" s="1"/>
  <c r="G15" i="2" s="1"/>
  <c r="K14" i="2"/>
  <c r="G14" i="2" s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M13" i="2"/>
  <c r="L13" i="2"/>
  <c r="J50" i="2" s="1"/>
  <c r="L52" i="2" s="1"/>
  <c r="I50" i="2" s="1"/>
  <c r="H50" i="2" s="1"/>
  <c r="F50" i="2" s="1"/>
  <c r="E50" i="2" s="1"/>
  <c r="D50" i="2" s="1"/>
  <c r="G13" i="2" l="1"/>
  <c r="G50" i="2" s="1"/>
  <c r="G71" i="2" s="1"/>
  <c r="K13" i="2"/>
  <c r="K50" i="2" s="1"/>
  <c r="L50" i="2" l="1"/>
  <c r="J13" i="1" l="1"/>
  <c r="K13" i="1" l="1"/>
  <c r="Q14" i="1"/>
  <c r="M12" i="1" l="1"/>
  <c r="Q12" i="1"/>
  <c r="Q17" i="1"/>
  <c r="Q18" i="1"/>
  <c r="L13" i="1"/>
  <c r="S13" i="1" s="1"/>
  <c r="R13" i="1"/>
  <c r="Q13" i="1"/>
  <c r="N12" i="1" l="1"/>
  <c r="U12" i="1" s="1"/>
  <c r="Q16" i="1"/>
  <c r="R16" i="1"/>
  <c r="S16" i="1"/>
  <c r="T16" i="1"/>
  <c r="U16" i="1"/>
  <c r="K12" i="1"/>
  <c r="R12" i="1" s="1"/>
  <c r="R14" i="1"/>
  <c r="M13" i="1"/>
  <c r="T13" i="1" s="1"/>
  <c r="R17" i="1"/>
  <c r="S17" i="1"/>
  <c r="T17" i="1"/>
  <c r="U17" i="1"/>
  <c r="R18" i="1"/>
  <c r="S18" i="1"/>
  <c r="T18" i="1"/>
  <c r="U18" i="1"/>
  <c r="R7" i="1"/>
  <c r="R6" i="1" s="1"/>
  <c r="S7" i="1"/>
  <c r="S6" i="1" s="1"/>
  <c r="T7" i="1"/>
  <c r="T6" i="1" s="1"/>
  <c r="U7" i="1"/>
  <c r="U6" i="1" s="1"/>
  <c r="L12" i="1" l="1"/>
  <c r="S12" i="1" s="1"/>
  <c r="S14" i="1"/>
  <c r="U13" i="1"/>
  <c r="T14" i="1" l="1"/>
  <c r="T12" i="1"/>
  <c r="R21" i="1"/>
  <c r="U14" i="1" l="1"/>
  <c r="S21" i="1"/>
  <c r="U21" i="1" l="1"/>
  <c r="T21" i="1"/>
</calcChain>
</file>

<file path=xl/comments1.xml><?xml version="1.0" encoding="utf-8"?>
<comments xmlns="http://schemas.openxmlformats.org/spreadsheetml/2006/main">
  <authors>
    <author>Смирнова Наталья Юрьевна</author>
    <author>Дьяченко Елена Михайловна</author>
  </authors>
  <commentList>
    <comment ref="I6" authorId="0">
      <text>
        <r>
          <rPr>
            <sz val="9"/>
            <color indexed="81"/>
            <rFont val="Tahoma"/>
            <family val="2"/>
            <charset val="204"/>
          </rPr>
          <t>факт</t>
        </r>
      </text>
    </comment>
    <comment ref="J6" authorId="0">
      <text>
        <r>
          <rPr>
            <sz val="9"/>
            <color indexed="81"/>
            <rFont val="Tahoma"/>
            <family val="2"/>
            <charset val="204"/>
          </rPr>
          <t xml:space="preserve">
прогноз из факта 10 мес.</t>
        </r>
      </text>
    </comment>
    <comment ref="I12" authorId="0">
      <text>
        <r>
          <rPr>
            <sz val="9"/>
            <color indexed="81"/>
            <rFont val="Tahoma"/>
            <family val="2"/>
            <charset val="204"/>
          </rPr>
          <t xml:space="preserve">
факт</t>
        </r>
      </text>
    </comment>
    <comment ref="J12" authorId="0">
      <text>
        <r>
          <rPr>
            <sz val="9"/>
            <color indexed="81"/>
            <rFont val="Tahoma"/>
            <family val="2"/>
            <charset val="204"/>
          </rPr>
          <t xml:space="preserve">
прогноз из факта 10 мес.</t>
        </r>
      </text>
    </comment>
    <comment ref="J16" authorId="0">
      <text>
        <r>
          <rPr>
            <sz val="9"/>
            <color indexed="81"/>
            <rFont val="Tahoma"/>
            <family val="2"/>
            <charset val="204"/>
          </rPr>
          <t xml:space="preserve">
проноз из факта 10 мес.</t>
        </r>
      </text>
    </comment>
    <comment ref="H17" authorId="1">
      <text>
        <r>
          <rPr>
            <b/>
            <sz val="9"/>
            <color indexed="81"/>
            <rFont val="Tahoma"/>
            <family val="2"/>
            <charset val="204"/>
          </rPr>
          <t>Дьяченко Елена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подьем факт 2022</t>
        </r>
      </text>
    </comment>
    <comment ref="H18" authorId="1">
      <text>
        <r>
          <rPr>
            <b/>
            <sz val="9"/>
            <color indexed="81"/>
            <rFont val="Tahoma"/>
            <family val="2"/>
            <charset val="204"/>
          </rPr>
          <t>Дьяченко Елена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подьем факт 2022</t>
        </r>
      </text>
    </comment>
    <comment ref="J41" authorId="0">
      <text>
        <r>
          <rPr>
            <sz val="9"/>
            <color indexed="81"/>
            <rFont val="Tahoma"/>
            <family val="2"/>
            <charset val="204"/>
          </rPr>
          <t xml:space="preserve">
прогноз из факта 10 мес.</t>
        </r>
      </text>
    </comment>
  </commentList>
</comments>
</file>

<file path=xl/comments2.xml><?xml version="1.0" encoding="utf-8"?>
<comments xmlns="http://schemas.openxmlformats.org/spreadsheetml/2006/main">
  <authors>
    <author>n.smirnova</author>
  </authors>
  <commentLis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n.smirnova:</t>
        </r>
        <r>
          <rPr>
            <sz val="9"/>
            <color indexed="81"/>
            <rFont val="Tahoma"/>
            <family val="2"/>
            <charset val="204"/>
          </rPr>
          <t xml:space="preserve">
вместо Финашина, с Финашиным расторгнут договор</t>
        </r>
      </text>
    </comment>
  </commentList>
</comments>
</file>

<file path=xl/sharedStrings.xml><?xml version="1.0" encoding="utf-8"?>
<sst xmlns="http://schemas.openxmlformats.org/spreadsheetml/2006/main" count="286" uniqueCount="191">
  <si>
    <t>№ п/п</t>
  </si>
  <si>
    <t>Наименование  показателя</t>
  </si>
  <si>
    <t>Плановые показатели</t>
  </si>
  <si>
    <t>Единица измерения</t>
  </si>
  <si>
    <t>2022 год</t>
  </si>
  <si>
    <t>1.</t>
  </si>
  <si>
    <t>Показатель качества питьевой воды</t>
  </si>
  <si>
    <t xml:space="preserve">доля проб питьевой воды после водоподготовки, не соответствующих санитарным нормам и правилам </t>
  </si>
  <si>
    <t>%</t>
  </si>
  <si>
    <t>общее количество отобранных проб</t>
  </si>
  <si>
    <t>ед.</t>
  </si>
  <si>
    <t>количество проб питьевой воды, отобранных по результатам производственного контроля, не соответствующих установленным требованиям</t>
  </si>
  <si>
    <t>доля проб питьевой воды в распределительной сети, не соответствующих санитарным нормам и правилам</t>
  </si>
  <si>
    <t>2.</t>
  </si>
  <si>
    <t xml:space="preserve">Показатель надежности и бесперебойности водоснабжения </t>
  </si>
  <si>
    <t xml:space="preserve">аварийность системы водоснабжения </t>
  </si>
  <si>
    <t>ед./км в год</t>
  </si>
  <si>
    <t xml:space="preserve">количество перерывов в подаче воды, произошедших в результате аварий, повреждений и иных технологических нарушений на объектах централизованной системы холодного водоснабжения </t>
  </si>
  <si>
    <t>протяженность водопроводной сети</t>
  </si>
  <si>
    <t>км</t>
  </si>
  <si>
    <t>3.</t>
  </si>
  <si>
    <t xml:space="preserve">Показатели энергетической эффективности </t>
  </si>
  <si>
    <t>доля потерь воды  в централизованной системе водоснабжения при  ее транспортировке</t>
  </si>
  <si>
    <t>тыс.куб.м.</t>
  </si>
  <si>
    <t>объем потерь воды в централизованных системах водоснабжения при ее транспортировке</t>
  </si>
  <si>
    <t>Фактические показатели</t>
  </si>
  <si>
    <t>Динамика,%</t>
  </si>
  <si>
    <t>2024 год</t>
  </si>
  <si>
    <t>2025 год</t>
  </si>
  <si>
    <t>2026 год</t>
  </si>
  <si>
    <t>2027 год</t>
  </si>
  <si>
    <t>2028 год</t>
  </si>
  <si>
    <t>количество аварий и засоров, произошедших  на объектах централизованной системы водоотведения</t>
  </si>
  <si>
    <t>аварийность системы водоотведения</t>
  </si>
  <si>
    <t>протяженность канализационной сети</t>
  </si>
  <si>
    <t>Приложение 1</t>
  </si>
  <si>
    <t>к техническому заданию на корректировку</t>
  </si>
  <si>
    <t>инвестиционной программы ГП "Калугаоблводоканал"</t>
  </si>
  <si>
    <t>по развитию системы водоснабжения и водоотведения</t>
  </si>
  <si>
    <t>муниципального образования "Город Калуга"</t>
  </si>
  <si>
    <t>на 2021-2023 гг.</t>
  </si>
  <si>
    <t>План ввода новых мощностей водопотребления и водоотведения на период реализации инвестиционной программы 2021-2023 гг.</t>
  </si>
  <si>
    <t>Заказчик</t>
  </si>
  <si>
    <t>Объект потребления услуг</t>
  </si>
  <si>
    <t>Примечание</t>
  </si>
  <si>
    <t>ИТОГО</t>
  </si>
  <si>
    <t>ПЗП установлена, ДНП заключены, объет подключен самостоятельно, акты о подключении не подписаны, осталось реализовать мероприятие по воде (общесистемное, определенное ДС к ДНП, в рамках суммы, установленной ДНП)</t>
  </si>
  <si>
    <t>срок подключения - 2021 год</t>
  </si>
  <si>
    <t>Заявители микрорайона Правгород</t>
  </si>
  <si>
    <t>ПЗП установлена, ДНП заключен</t>
  </si>
  <si>
    <t>ПЗП установлена, ДНП заключены</t>
  </si>
  <si>
    <t>ПЗП установлена, ДНП заключен только по водоснабжению</t>
  </si>
  <si>
    <t>ПЗП установлена, ДНП заключены, мероприятия по ВиК на протяженность выполнены, не реализовано мероприятие на увеличение мощности по В</t>
  </si>
  <si>
    <t>ПЗП не установлена, документы на рассмотрении</t>
  </si>
  <si>
    <t>ПЗП установлена, ДНП не заключены</t>
  </si>
  <si>
    <t>объект по воде подключен, по канализации со стороны предприятия не выполнены обязательства по реконструкции коллектора, поэтому акт о подключении к системе канализации не подписан</t>
  </si>
  <si>
    <t>ПЗП установлены, ДНП заключены</t>
  </si>
  <si>
    <t>Документы на рассмотрении</t>
  </si>
  <si>
    <t>заявление получено, от заказчика поступило заявление на подключение о подключении объекта только к системе водоснабжения</t>
  </si>
  <si>
    <t>824,5 п.м.</t>
  </si>
  <si>
    <t>230 п.м.</t>
  </si>
  <si>
    <t>800п.м.</t>
  </si>
  <si>
    <t>ИТОГО:</t>
  </si>
  <si>
    <t>Мощность объектов Правгорода, по которым установлена ПЗП</t>
  </si>
  <si>
    <t>Мощность будущих заявителей, в том числе:</t>
  </si>
  <si>
    <t>м3/сутки</t>
  </si>
  <si>
    <t>РЕЗЕРВ ООО Калуга-Лидер, квартал 7</t>
  </si>
  <si>
    <t>РЕЗЕРВ ООО Стройдевелопмент</t>
  </si>
  <si>
    <t>РЕЗЕРВ ООО Промгражданстрой квартал 6</t>
  </si>
  <si>
    <t>РЕЗЕРВ ООО Таширстрой район д.Квань</t>
  </si>
  <si>
    <t>РЕЗЕРВ УГХ г.Калуги квартал 6 дом № 5</t>
  </si>
  <si>
    <t>РЕЗЕРВ УГХ г. Калуги квартал 13 дом № 6, 7</t>
  </si>
  <si>
    <t>РЕЗЕРВ УГХ г. Калуги квартал 14 дом № 72, 73</t>
  </si>
  <si>
    <t>выполнено</t>
  </si>
  <si>
    <t>нет договора</t>
  </si>
  <si>
    <t>выполнено\</t>
  </si>
  <si>
    <t>Заявители с нагрузкой до 40 м3/сутки</t>
  </si>
  <si>
    <t>Жилые дома, нежилые здания и помещения</t>
  </si>
  <si>
    <t>АО "РАСМАШ"</t>
  </si>
  <si>
    <t>Комплекс многоэтажных многоквартирных домов 6-12 этажей, расположенный по адресу: г. Калуга, Грабцевского шоссе</t>
  </si>
  <si>
    <t>ЗАО Строительная компания "Правый берег" (ЗАО СК Правый берег)</t>
  </si>
  <si>
    <t>Строящийся многоэтажный жилой дом с помещениями общественного назначения и надземной многоуровневой автостоянкой", расположенный по адресу: г. Калуга, район Правобережья, квартал № 5</t>
  </si>
  <si>
    <t>УФСБ России по Калужской области</t>
  </si>
  <si>
    <t>Административно-технические здания, расположенный по адресу:  г. Калуга, ул. Трамплинная, 1в</t>
  </si>
  <si>
    <t>ООО "Дельта Групп"</t>
  </si>
  <si>
    <t xml:space="preserve">Проектируемая территория в районе СНТ "Красный садовод", расположенная по адресу: г. Калуга, ул. Московская, ориентир д. № 321 </t>
  </si>
  <si>
    <t xml:space="preserve">ООО "Калужская Земельная Корпорация" </t>
  </si>
  <si>
    <t>Строящиеся жилые дома различного типа, расположенные по адресу: г. Калуга, район ул. Терепецкая</t>
  </si>
  <si>
    <t>Смирнова Ольга Васильевна (ранее ООО "Калужская Земельная Корпорация")</t>
  </si>
  <si>
    <t>Здание торгового назначения, расположенный по адресу: г. Калуга, ул. Заречная, р-н дома 13</t>
  </si>
  <si>
    <t>ООО "Грейт" и Белов Глеб Валерьевич (цессионарий) 
(ранее ООО «Компания Донатор» - цедент)</t>
  </si>
  <si>
    <t xml:space="preserve">Двухэтажный энергокорпус и вспомогательные сооружения, расположенный по адресу: г. Калуга, пр. 1-й Академический, д. 5
</t>
  </si>
  <si>
    <t>ООО "СтройСервис" (АО ЦентрСпецСтрой)</t>
  </si>
  <si>
    <t xml:space="preserve">Жилой комплекс «Мельница», макс. высота зданий 71 м, этажность – 21 эт., проектируемый, расположенный по адресу: г. Калуга, ул. Карла Либкнехта, 40, кадастровые номера земельных участков: 40:26:000232:216 и 40:26:000232:217. </t>
  </si>
  <si>
    <t>Диденко И.К., Кадацкий А.В., Масловский М.С., Саватеев А.А.</t>
  </si>
  <si>
    <t>Многоквартирный жилой дом №1, многоквартирный жилой дом №2, расположенный по адресу: г. Калуга, ул. Резванская,д.3 уч.2</t>
  </si>
  <si>
    <t>ООО "Совместное предприятие "Минскстройэкспорт" (ООО СП Минскстройэкспорт)</t>
  </si>
  <si>
    <t xml:space="preserve"> Комплекс жилых домов по ул. Тарутинская. Мкр. «Малиновка-2», расположенный по адресу:  г.Калуга, ул.Тарутинская д.241, д.243</t>
  </si>
  <si>
    <t xml:space="preserve">ООО СП Минскстройэкспорт (ранее ООО "Белорусский дом")  
</t>
  </si>
  <si>
    <t>Комплекс жилых домов, 19-этажные, высотой 65м, расположенные по адресу: г.Калуга, ул. Анненки район д. №61, кадастровые номера земельных участков: 40:26:000395:2883,2884,2885</t>
  </si>
  <si>
    <t>ООО «СП «Минскстройэкспорт»</t>
  </si>
  <si>
    <t>Многоквартирный жилой дом со встроенными административными помещениями по адресу: г.Калуга, в районе, ограниченном улицами С-Щедрина, Беляева, Знаменской, Луначарского» 8 этажей, высота 25 м, расположенный по адресу: г.Калуга, в районе, ограниченном улицами С-Щедрина, Беляева, Знаменской, Луначарского</t>
  </si>
  <si>
    <t>ООО "СТРОЙДЕВЕЛОПМЕНТГРУПП"
ООО Специализированный застройщик "БИЛДИНГ-ГРУПП"
Плательщик: Фонд поддрежки строительства доступного жилья в КО</t>
  </si>
  <si>
    <t>Комплексное осовоение в целях жилищного строительства многоэтажными жилыми домами, расположенными по адресу: г.Калуга, р-н Правобережья</t>
  </si>
  <si>
    <t>ГКУ Калужской области «Управление капитального строительства» (ГКУ КО УКС)</t>
  </si>
  <si>
    <t>Строительство детско-взрослой поликлиники в г. Калуга, в том числе ПИР,  расположенной по адресу: Калужская область, г. Калуга, ул. Фомушина-ул. Генерала Попова</t>
  </si>
  <si>
    <t>Строительство лечебно-диагностического корпуса ГБУЗ КО "Калужский областной онкологический диспансер", в том числе ПИР", расположенного по адресу: Калужская область, г. Калуга, ул. Вишневского, д. 1</t>
  </si>
  <si>
    <t>ГКУ Калужской области «Управление капитального строительства»</t>
  </si>
  <si>
    <t>Здание (сооружение) с дополнительным коечным фондом государственного автономного учреждения здравоохранения Калужской области «Калужский областной специализированный центр инфекционных заболеваний и СПИД», предназначенное для ликвидации последствий новой коронавирусной инфекции (COVID-19)</t>
  </si>
  <si>
    <t>Муниципальное унитарное предприятие "Калугатеплосеть"</t>
  </si>
  <si>
    <t>Отдельно стоящая котельная для теплоснабжения потребителей существующей котельной ОАО "КЗАЭ", расположенной по адресу: г. Калуга, ул. Азаровская, в районе д. 13, 15</t>
  </si>
  <si>
    <t>АО «Агентство инновационного развития – центр кластерного развития Калужской области» (АО "АИРКО")</t>
  </si>
  <si>
    <t xml:space="preserve">Объект социально-культурного назначения «Региональный университет», расположенного по адресу: Калужская область, г. Калуга, д. Пучково 
</t>
  </si>
  <si>
    <t>ООО "Международный парк развлечений и туризма"</t>
  </si>
  <si>
    <t>Конгресс центр, расположенный по адресу:  г.Калуга, набережная Яченского водохранилища</t>
  </si>
  <si>
    <t>ООО "СТРОЙДЕВЕЛОПМЕНТГРУПП" (ранее ООО Капитель)</t>
  </si>
  <si>
    <t>Девятиэтажный жилой дом с помещениями общественного назначения, расположенный по адресу: г. Калуга, Правобережье, район ул. Спартака</t>
  </si>
  <si>
    <t>ООО "Специализированный застройщик "Перспектива"</t>
  </si>
  <si>
    <t xml:space="preserve">"Многоквартирный кирпичный 9- этажный  жилой дом", расположенный по адресу:  г.Калуга, пер.Баррикад 
</t>
  </si>
  <si>
    <t>ООО "Смолартстрой"</t>
  </si>
  <si>
    <t>Строящийся жилой дом №11 комплексной жилой застройки, расположенный по адресу: г.Калуга, р-н Правобережья</t>
  </si>
  <si>
    <t>ООО «КВАРТАЛ» (ранее ООО Капитель)</t>
  </si>
  <si>
    <t>Жилой дом переменной этажности с подземной автостоянкой, расположенный по адресу: г. Калуга,  ул.Пролетарская д.129</t>
  </si>
  <si>
    <t xml:space="preserve">ООО СК "Домстрой" </t>
  </si>
  <si>
    <t xml:space="preserve">Три строящихся многоэтажных жилых дома   со встроенными нежилыми помещениями, расположенные по адресу: г. Калуга, ул. Советская </t>
  </si>
  <si>
    <t>ООО «Тандем Плюс»</t>
  </si>
  <si>
    <t xml:space="preserve">Строительство многоквартирного жилого дома 16 этажей, расположенного по адресу: г. Калуга, ул. Московская в районе д.321 </t>
  </si>
  <si>
    <t>Проектирование и строительство систем водоснабжения по адресам:  г. Калуга, д. Мстихино, ул. Центральная, в районе д.д.1,1а,1б; г.Калуга, пер. Прудный, в районе д.д.1,1а,2,3,4,8</t>
  </si>
  <si>
    <t>Проектирование и строительство систем водоотведения по адресу: г.Калуга, переулок 2-й Стекольный</t>
  </si>
  <si>
    <t>Строительство системы водоотведения по адресу: г.Калуга, ул. Овражная</t>
  </si>
  <si>
    <t>Жилая застройка микрорайонов "Кошелев-проект", "Ташир", кварталы № 5-19, 22, 23 в районе д.Верховая, д.Квань</t>
  </si>
  <si>
    <t>Акционерное общество «Корпорация развития Калужской области»</t>
  </si>
  <si>
    <t>Индустриальный парк «Грабцево» (с целью увеличения мощности системы (2 этажа)), расположенный по адресу: г. Калуга, Индустриальный парк «Грабцево»</t>
  </si>
  <si>
    <t>ООО «КалугаЭлитДевелопмент»</t>
  </si>
  <si>
    <t>«Многоквартирный жилой дом с подземными парковками» 12 этажей расположенному по адресу: г. Калуга,  пер. Баррикад, р-н д. 5, 13, 15, 17, 23, 29</t>
  </si>
  <si>
    <t>ООО «Строймонтаж-С»</t>
  </si>
  <si>
    <t xml:space="preserve">«Застройка многоквартирными жилыми домами» расположенного по адресу: г. Калуга, ул. Кукареки, д.2 </t>
  </si>
  <si>
    <t>МУП "Калугатеплосеть"</t>
  </si>
  <si>
    <t>Котельная.
г. Калуга, ул. Кропоткина, 4а</t>
  </si>
  <si>
    <t>Котельная.
г. Калуга, ул. Театральная, 4г</t>
  </si>
  <si>
    <t>ООО «Вертикаль»</t>
  </si>
  <si>
    <t>г. Калуга, ул. Московская, д. 249</t>
  </si>
  <si>
    <t>ООО «Полигон ЖБЦ»</t>
  </si>
  <si>
    <t>г. Калуга, ул. Комсомольская Роща, д. 39.</t>
  </si>
  <si>
    <t>убрать</t>
  </si>
  <si>
    <t xml:space="preserve"> </t>
  </si>
  <si>
    <t>общее количество электрической энергии, потребляемой в соответствующем технологическом процессе</t>
  </si>
  <si>
    <t>тыс.кВт*ч</t>
  </si>
  <si>
    <t>общий объем питьевой воды, в отношении которой осуществляется водоподготовка</t>
  </si>
  <si>
    <t>тыс.куб.м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</si>
  <si>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</t>
  </si>
  <si>
    <t xml:space="preserve">Показатель надежности и бесперебойности централизованной системы водоотведения </t>
  </si>
  <si>
    <t>доля сточных водподвергшихся очистке в общем объеме сбрасываемых сточных вод</t>
  </si>
  <si>
    <t>кВТ*час</t>
  </si>
  <si>
    <t>общий объем сточных вод, подвергающихся очистке</t>
  </si>
  <si>
    <t>куб.м.</t>
  </si>
  <si>
    <t>кВт*час/куб. м</t>
  </si>
  <si>
    <t xml:space="preserve">Водоснабжение: </t>
  </si>
  <si>
    <t>Водоотведение:</t>
  </si>
  <si>
    <t>удельный расход электрической энергии, потребляемой в технологическом процессе  транспортировки и очистки сточных вод, на единицу объема сточных вод транспортируемых и прошедших очистку</t>
  </si>
  <si>
    <t>2020 год</t>
  </si>
  <si>
    <t>2021 год</t>
  </si>
  <si>
    <t>Строительство напорного канализационного коллектора от КНС до камеры гашения протяженностью 3000 п.м.</t>
  </si>
  <si>
    <t>Строительство самотечной  сети водоотведения  пер. Кирова протяженностью  550 п.м.</t>
  </si>
  <si>
    <t>Строительство самотечной  сети водоотведения по ул. 9 Сентября протяженностью 1200 п.м.</t>
  </si>
  <si>
    <t>Строительство самотечной  сети водоотведения  по ул. Белинского протяженностью 1000 п.м.</t>
  </si>
  <si>
    <t>Строительство самотечной  сети водоотведения  по  ул. Кирова протяженностью 1600 п.м.</t>
  </si>
  <si>
    <t>Строительство самотечной  сети водоотведения по ул. Краснофлотская протяженностью 400 п.м.</t>
  </si>
  <si>
    <t>Строительство самотечной  сети водоотведения  по ул. Крылова протяженностью 1000 п.м.</t>
  </si>
  <si>
    <t>Строительство самотечной  сети водоотведения  по ул.Суворова протяженностью 600 п.м.</t>
  </si>
  <si>
    <t>Строительство самотечной  сети водоотведения  по ул.Чехова протяженностью 600 п.м.</t>
  </si>
  <si>
    <t>Строительство сборного коллектора Д=300 мм протяженностью 550 п.м.</t>
  </si>
  <si>
    <t>2028 г.</t>
  </si>
  <si>
    <t>2026 г.</t>
  </si>
  <si>
    <t>2027 г.</t>
  </si>
  <si>
    <t>Строительство сетей  водоснабжения по ул. Пушкина протяженностью 670 п.м.</t>
  </si>
  <si>
    <t>Строительство сетей  водоснабжения по ул. Дзержинского протяженностью 1240 п.м.</t>
  </si>
  <si>
    <t>Строительство сетей  водоснабжения по ул. Попова протяженностью 500 п.м.</t>
  </si>
  <si>
    <t>Строительство сетей  водоснабжения по ул. Ленина  протяженностью 518 п.м.</t>
  </si>
  <si>
    <t>МУП «Людиновские тепловые сети»</t>
  </si>
  <si>
    <t>2025 г.</t>
  </si>
  <si>
    <t>Прогноз</t>
  </si>
  <si>
    <t>2023 год</t>
  </si>
  <si>
    <t>Факт</t>
  </si>
  <si>
    <t>ПроШкола</t>
  </si>
  <si>
    <t>ДПР</t>
  </si>
  <si>
    <t>объем воды, поданной в водопроводную сеть</t>
  </si>
  <si>
    <t>2029 год</t>
  </si>
  <si>
    <t>2030 год</t>
  </si>
  <si>
    <t>Плановые  значения показателей надежности,качества и энергетической эффективности объектов централизованной системы водоснабжения и (или) водоотведения, которые должны быть достигнуты в результате  инвестиционной программы в период 2024-2030гг.</t>
  </si>
  <si>
    <t xml:space="preserve">Приложение №2 
к техническому заданию государственного предприятия Калужской области «Калугаоблводоканал» на корректировку инвестиционной программы по развитию систем водоснабжения на территории города Людиново, для резидентов особой экономической зоны промышленно-производственного типа «Калуга» в д. Войлово и систем водоотведения на территории города Людиново, для МУЖКХ «Болва» с. Заречный и для ГАУЗ Калужский санаторий «Спутник» д. Манино Муниципального образования «Людиновский муниципальный округ Калужской области» на 2024-2030 гг.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</si>
</sst>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0.0"/>
    <numFmt numFmtId="167" formatCode="#,##0.000"/>
    <numFmt numFmtId="168" formatCode="_-* #,##0.00[$€-1]_-;\-* #,##0.00[$€-1]_-;_-* &quot;-&quot;??[$€-1]_-"/>
    <numFmt numFmtId="169" formatCode="\ #,##0.00&quot;р. &quot;;\-#,##0.00&quot;р. &quot;;&quot; -&quot;#&quot;р. &quot;;@\ 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indexed="9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sz val="10"/>
      <name val="Times New Roman Cyr"/>
      <family val="1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8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9C0006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FF"/>
        <bgColor indexed="64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42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theme="5"/>
        <bgColor indexed="64"/>
      </patternFill>
    </fill>
  </fills>
  <borders count="4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medium">
        <color indexed="64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">
    <xf numFmtId="0" fontId="0" fillId="0" borderId="0"/>
    <xf numFmtId="0" fontId="1" fillId="2" borderId="1" applyNumberFormat="0" applyAlignment="0" applyProtection="0"/>
    <xf numFmtId="9" fontId="11" fillId="0" borderId="0" applyFont="0" applyFill="0" applyBorder="0" applyAlignment="0" applyProtection="0"/>
    <xf numFmtId="0" fontId="12" fillId="0" borderId="13" applyNumberFormat="0" applyFill="0" applyAlignment="0" applyProtection="0"/>
    <xf numFmtId="0" fontId="13" fillId="5" borderId="0" applyNumberFormat="0" applyBorder="0" applyAlignment="0" applyProtection="0"/>
    <xf numFmtId="0" fontId="15" fillId="8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168" fontId="23" fillId="0" borderId="0" applyFont="0" applyFill="0" applyBorder="0" applyAlignment="0" applyProtection="0"/>
    <xf numFmtId="0" fontId="24" fillId="0" borderId="9">
      <alignment horizontal="center"/>
    </xf>
    <xf numFmtId="0" fontId="23" fillId="0" borderId="0">
      <alignment vertical="top"/>
    </xf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33" borderId="0" applyNumberFormat="0" applyBorder="0" applyAlignment="0" applyProtection="0"/>
    <xf numFmtId="0" fontId="25" fillId="21" borderId="31" applyNumberFormat="0" applyAlignment="0" applyProtection="0"/>
    <xf numFmtId="0" fontId="24" fillId="0" borderId="9">
      <alignment horizontal="center"/>
    </xf>
    <xf numFmtId="0" fontId="24" fillId="0" borderId="0">
      <alignment vertical="top"/>
    </xf>
    <xf numFmtId="0" fontId="26" fillId="34" borderId="32" applyNumberFormat="0" applyAlignment="0" applyProtection="0"/>
    <xf numFmtId="0" fontId="27" fillId="34" borderId="31" applyNumberFormat="0" applyAlignment="0" applyProtection="0"/>
    <xf numFmtId="169" fontId="28" fillId="0" borderId="0" applyFill="0" applyBorder="0" applyAlignment="0" applyProtection="0"/>
    <xf numFmtId="0" fontId="29" fillId="0" borderId="0" applyBorder="0">
      <alignment horizontal="center" vertical="center" wrapText="1"/>
    </xf>
    <xf numFmtId="0" fontId="30" fillId="0" borderId="33" applyNumberFormat="0" applyFill="0" applyAlignment="0" applyProtection="0"/>
    <xf numFmtId="0" fontId="31" fillId="0" borderId="34" applyNumberFormat="0" applyFill="0" applyAlignment="0" applyProtection="0"/>
    <xf numFmtId="0" fontId="32" fillId="0" borderId="35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36" applyBorder="0">
      <alignment horizontal="center" vertical="center" wrapText="1"/>
    </xf>
    <xf numFmtId="4" fontId="34" fillId="35" borderId="9" applyBorder="0">
      <alignment horizontal="right"/>
    </xf>
    <xf numFmtId="0" fontId="35" fillId="0" borderId="37" applyNumberFormat="0" applyFill="0" applyAlignment="0" applyProtection="0"/>
    <xf numFmtId="0" fontId="24" fillId="0" borderId="0">
      <alignment horizontal="right" vertical="top" wrapText="1"/>
    </xf>
    <xf numFmtId="0" fontId="24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36" fillId="36" borderId="29" applyNumberFormat="0" applyAlignment="0" applyProtection="0"/>
    <xf numFmtId="0" fontId="24" fillId="0" borderId="9">
      <alignment horizontal="center" wrapText="1"/>
    </xf>
    <xf numFmtId="0" fontId="24" fillId="0" borderId="9" applyFill="0" applyProtection="0">
      <alignment horizontal="center"/>
    </xf>
    <xf numFmtId="0" fontId="23" fillId="0" borderId="0">
      <alignment vertical="top"/>
    </xf>
    <xf numFmtId="0" fontId="23" fillId="0" borderId="0"/>
    <xf numFmtId="0" fontId="37" fillId="37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8" fillId="0" borderId="0"/>
    <xf numFmtId="0" fontId="11" fillId="0" borderId="0"/>
    <xf numFmtId="0" fontId="21" fillId="0" borderId="0"/>
    <xf numFmtId="0" fontId="23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0" borderId="0"/>
    <xf numFmtId="0" fontId="23" fillId="0" borderId="0" applyProtection="0"/>
    <xf numFmtId="0" fontId="40" fillId="0" borderId="0"/>
    <xf numFmtId="0" fontId="24" fillId="0" borderId="0"/>
    <xf numFmtId="0" fontId="24" fillId="0" borderId="9">
      <alignment horizontal="center" wrapText="1"/>
    </xf>
    <xf numFmtId="0" fontId="41" fillId="18" borderId="0" applyNumberFormat="0" applyBorder="0" applyAlignment="0" applyProtection="0"/>
    <xf numFmtId="0" fontId="42" fillId="0" borderId="0" applyNumberFormat="0" applyFill="0" applyBorder="0" applyAlignment="0" applyProtection="0"/>
    <xf numFmtId="0" fontId="23" fillId="38" borderId="38" applyNumberFormat="0" applyFont="0" applyAlignment="0" applyProtection="0"/>
    <xf numFmtId="0" fontId="23" fillId="4" borderId="14" applyNumberFormat="0" applyFont="0" applyAlignment="0" applyProtection="0"/>
    <xf numFmtId="9" fontId="23" fillId="0" borderId="0" applyFont="0" applyFill="0" applyBorder="0" applyAlignment="0" applyProtection="0"/>
    <xf numFmtId="0" fontId="24" fillId="0" borderId="9">
      <alignment horizontal="center"/>
    </xf>
    <xf numFmtId="0" fontId="24" fillId="0" borderId="9">
      <alignment horizontal="center" wrapText="1"/>
    </xf>
    <xf numFmtId="0" fontId="23" fillId="0" borderId="0"/>
    <xf numFmtId="0" fontId="43" fillId="0" borderId="39" applyNumberFormat="0" applyFill="0" applyAlignment="0" applyProtection="0"/>
    <xf numFmtId="0" fontId="44" fillId="0" borderId="0" applyNumberFormat="0" applyFill="0" applyBorder="0" applyAlignment="0" applyProtection="0"/>
    <xf numFmtId="0" fontId="24" fillId="0" borderId="0">
      <alignment horizontal="center"/>
    </xf>
    <xf numFmtId="0" fontId="24" fillId="0" borderId="9">
      <alignment horizontal="center"/>
    </xf>
    <xf numFmtId="164" fontId="23" fillId="0" borderId="0" applyFont="0" applyFill="0" applyBorder="0" applyAlignment="0" applyProtection="0"/>
    <xf numFmtId="164" fontId="40" fillId="0" borderId="0" applyFont="0" applyFill="0" applyBorder="0" applyAlignment="0" applyProtection="0"/>
    <xf numFmtId="4" fontId="34" fillId="39" borderId="15" applyBorder="0">
      <alignment horizontal="right"/>
    </xf>
    <xf numFmtId="0" fontId="24" fillId="0" borderId="0">
      <alignment horizontal="left" vertical="top"/>
    </xf>
    <xf numFmtId="0" fontId="45" fillId="8" borderId="0" applyNumberFormat="0" applyBorder="0" applyAlignment="0" applyProtection="0"/>
    <xf numFmtId="0" fontId="24" fillId="0" borderId="0"/>
    <xf numFmtId="0" fontId="11" fillId="4" borderId="14" applyNumberFormat="0" applyFont="0" applyAlignment="0" applyProtection="0"/>
    <xf numFmtId="0" fontId="21" fillId="0" borderId="0"/>
    <xf numFmtId="0" fontId="23" fillId="0" borderId="0"/>
    <xf numFmtId="0" fontId="52" fillId="0" borderId="0"/>
    <xf numFmtId="0" fontId="53" fillId="41" borderId="0" applyNumberFormat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255">
    <xf numFmtId="0" fontId="0" fillId="0" borderId="0" xfId="0"/>
    <xf numFmtId="0" fontId="2" fillId="0" borderId="0" xfId="0" applyFont="1"/>
    <xf numFmtId="0" fontId="3" fillId="0" borderId="0" xfId="0" applyFont="1"/>
    <xf numFmtId="0" fontId="5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7" fillId="0" borderId="9" xfId="1" applyNumberFormat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0" xfId="0" applyFont="1" applyFill="1"/>
    <xf numFmtId="0" fontId="3" fillId="0" borderId="0" xfId="0" applyFont="1" applyFill="1"/>
    <xf numFmtId="0" fontId="14" fillId="0" borderId="0" xfId="0" applyFont="1" applyFill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/>
    <xf numFmtId="0" fontId="14" fillId="0" borderId="13" xfId="3" applyFont="1" applyFill="1" applyAlignment="1">
      <alignment horizontal="left" vertical="center"/>
    </xf>
    <xf numFmtId="0" fontId="14" fillId="0" borderId="0" xfId="3" applyFont="1" applyFill="1" applyBorder="1" applyAlignment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left" vertical="center"/>
      <protection locked="0"/>
    </xf>
    <xf numFmtId="0" fontId="14" fillId="0" borderId="0" xfId="0" applyFont="1" applyFill="1" applyBorder="1"/>
    <xf numFmtId="0" fontId="14" fillId="0" borderId="2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Border="1"/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vertical="center"/>
    </xf>
    <xf numFmtId="0" fontId="3" fillId="0" borderId="28" xfId="5" applyFont="1" applyFill="1" applyBorder="1" applyAlignment="1">
      <alignment horizontal="center" vertical="center" wrapText="1"/>
    </xf>
    <xf numFmtId="4" fontId="3" fillId="0" borderId="29" xfId="5" applyNumberFormat="1" applyFont="1" applyFill="1" applyBorder="1" applyAlignment="1">
      <alignment horizontal="left" vertical="center" wrapText="1"/>
    </xf>
    <xf numFmtId="4" fontId="3" fillId="0" borderId="30" xfId="5" applyNumberFormat="1" applyFont="1" applyFill="1" applyBorder="1" applyAlignment="1">
      <alignment horizontal="left" vertical="center" wrapText="1"/>
    </xf>
    <xf numFmtId="167" fontId="3" fillId="0" borderId="9" xfId="0" applyNumberFormat="1" applyFont="1" applyFill="1" applyBorder="1" applyAlignment="1">
      <alignment horizontal="right" vertical="center" wrapText="1"/>
    </xf>
    <xf numFmtId="167" fontId="14" fillId="0" borderId="6" xfId="0" applyNumberFormat="1" applyFont="1" applyFill="1" applyBorder="1" applyAlignment="1">
      <alignment horizontal="right" vertical="center" wrapText="1"/>
    </xf>
    <xf numFmtId="167" fontId="14" fillId="0" borderId="21" xfId="0" applyNumberFormat="1" applyFont="1" applyFill="1" applyBorder="1" applyAlignment="1">
      <alignment horizontal="right" vertical="center" wrapText="1"/>
    </xf>
    <xf numFmtId="167" fontId="14" fillId="0" borderId="4" xfId="0" applyNumberFormat="1" applyFont="1" applyFill="1" applyBorder="1" applyAlignment="1">
      <alignment horizontal="left" vertical="center" wrapText="1"/>
    </xf>
    <xf numFmtId="167" fontId="14" fillId="0" borderId="5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vertical="center" wrapText="1"/>
    </xf>
    <xf numFmtId="4" fontId="16" fillId="0" borderId="29" xfId="5" applyNumberFormat="1" applyFont="1" applyFill="1" applyBorder="1" applyAlignment="1">
      <alignment horizontal="left" vertical="center" wrapText="1"/>
    </xf>
    <xf numFmtId="4" fontId="16" fillId="0" borderId="30" xfId="5" applyNumberFormat="1" applyFont="1" applyFill="1" applyBorder="1" applyAlignment="1">
      <alignment horizontal="left" vertical="center" wrapText="1"/>
    </xf>
    <xf numFmtId="0" fontId="17" fillId="0" borderId="0" xfId="0" applyFont="1" applyFill="1"/>
    <xf numFmtId="0" fontId="17" fillId="0" borderId="0" xfId="0" applyFont="1" applyFill="1" applyBorder="1"/>
    <xf numFmtId="0" fontId="3" fillId="9" borderId="9" xfId="0" applyFont="1" applyFill="1" applyBorder="1" applyAlignment="1">
      <alignment vertical="center" wrapText="1"/>
    </xf>
    <xf numFmtId="0" fontId="3" fillId="9" borderId="0" xfId="0" applyFont="1" applyFill="1"/>
    <xf numFmtId="0" fontId="3" fillId="9" borderId="0" xfId="0" applyFont="1" applyFill="1" applyBorder="1"/>
    <xf numFmtId="167" fontId="14" fillId="10" borderId="5" xfId="0" applyNumberFormat="1" applyFont="1" applyFill="1" applyBorder="1" applyAlignment="1">
      <alignment horizontal="left" vertical="center" wrapText="1"/>
    </xf>
    <xf numFmtId="0" fontId="3" fillId="10" borderId="9" xfId="0" applyFont="1" applyFill="1" applyBorder="1" applyAlignment="1">
      <alignment vertical="center" wrapText="1"/>
    </xf>
    <xf numFmtId="0" fontId="17" fillId="10" borderId="0" xfId="0" applyFont="1" applyFill="1"/>
    <xf numFmtId="0" fontId="17" fillId="10" borderId="0" xfId="0" applyFont="1" applyFill="1" applyBorder="1"/>
    <xf numFmtId="0" fontId="3" fillId="10" borderId="0" xfId="0" applyFont="1" applyFill="1" applyBorder="1"/>
    <xf numFmtId="0" fontId="3" fillId="10" borderId="0" xfId="0" applyFont="1" applyFill="1"/>
    <xf numFmtId="0" fontId="14" fillId="11" borderId="5" xfId="0" applyFont="1" applyFill="1" applyBorder="1" applyAlignment="1">
      <alignment horizontal="left" vertical="center" wrapText="1"/>
    </xf>
    <xf numFmtId="0" fontId="3" fillId="11" borderId="9" xfId="0" applyFont="1" applyFill="1" applyBorder="1" applyAlignment="1">
      <alignment vertical="center" wrapText="1"/>
    </xf>
    <xf numFmtId="0" fontId="17" fillId="11" borderId="0" xfId="0" applyFont="1" applyFill="1"/>
    <xf numFmtId="0" fontId="17" fillId="11" borderId="0" xfId="0" applyFont="1" applyFill="1" applyBorder="1"/>
    <xf numFmtId="0" fontId="3" fillId="11" borderId="0" xfId="0" applyFont="1" applyFill="1" applyBorder="1"/>
    <xf numFmtId="0" fontId="3" fillId="11" borderId="0" xfId="0" applyFont="1" applyFill="1"/>
    <xf numFmtId="167" fontId="14" fillId="12" borderId="5" xfId="0" applyNumberFormat="1" applyFont="1" applyFill="1" applyBorder="1" applyAlignment="1">
      <alignment horizontal="left" vertical="center" wrapText="1"/>
    </xf>
    <xf numFmtId="0" fontId="3" fillId="12" borderId="9" xfId="0" applyFont="1" applyFill="1" applyBorder="1" applyAlignment="1">
      <alignment vertical="center" wrapText="1"/>
    </xf>
    <xf numFmtId="0" fontId="3" fillId="12" borderId="0" xfId="0" applyFont="1" applyFill="1"/>
    <xf numFmtId="0" fontId="3" fillId="12" borderId="0" xfId="0" applyFont="1" applyFill="1" applyBorder="1"/>
    <xf numFmtId="167" fontId="3" fillId="0" borderId="5" xfId="0" applyNumberFormat="1" applyFont="1" applyFill="1" applyBorder="1" applyAlignment="1">
      <alignment horizontal="left" vertical="center" wrapText="1"/>
    </xf>
    <xf numFmtId="0" fontId="3" fillId="13" borderId="0" xfId="0" applyFont="1" applyFill="1"/>
    <xf numFmtId="0" fontId="3" fillId="13" borderId="0" xfId="0" applyFont="1" applyFill="1" applyBorder="1"/>
    <xf numFmtId="0" fontId="14" fillId="9" borderId="5" xfId="0" applyFont="1" applyFill="1" applyBorder="1" applyAlignment="1">
      <alignment horizontal="left" vertical="center" wrapText="1"/>
    </xf>
    <xf numFmtId="0" fontId="14" fillId="14" borderId="5" xfId="0" applyFont="1" applyFill="1" applyBorder="1" applyAlignment="1">
      <alignment horizontal="left" vertical="center" wrapText="1"/>
    </xf>
    <xf numFmtId="0" fontId="3" fillId="14" borderId="9" xfId="0" applyFont="1" applyFill="1" applyBorder="1" applyAlignment="1">
      <alignment vertical="center" wrapText="1"/>
    </xf>
    <xf numFmtId="0" fontId="3" fillId="14" borderId="0" xfId="0" applyFont="1" applyFill="1"/>
    <xf numFmtId="0" fontId="3" fillId="14" borderId="0" xfId="0" applyFont="1" applyFill="1" applyBorder="1"/>
    <xf numFmtId="167" fontId="16" fillId="0" borderId="9" xfId="4" applyNumberFormat="1" applyFont="1" applyFill="1" applyBorder="1" applyAlignment="1">
      <alignment horizontal="right" vertical="center" wrapText="1"/>
    </xf>
    <xf numFmtId="167" fontId="18" fillId="0" borderId="9" xfId="4" applyNumberFormat="1" applyFont="1" applyFill="1" applyBorder="1" applyAlignment="1">
      <alignment horizontal="right" vertical="center" wrapText="1"/>
    </xf>
    <xf numFmtId="167" fontId="18" fillId="0" borderId="6" xfId="4" applyNumberFormat="1" applyFont="1" applyFill="1" applyBorder="1" applyAlignment="1">
      <alignment horizontal="right" vertical="center" wrapText="1"/>
    </xf>
    <xf numFmtId="167" fontId="18" fillId="0" borderId="21" xfId="4" applyNumberFormat="1" applyFont="1" applyFill="1" applyBorder="1" applyAlignment="1">
      <alignment horizontal="right" vertical="center" wrapText="1"/>
    </xf>
    <xf numFmtId="167" fontId="18" fillId="0" borderId="4" xfId="0" applyNumberFormat="1" applyFont="1" applyFill="1" applyBorder="1" applyAlignment="1">
      <alignment horizontal="left" vertical="center" wrapText="1"/>
    </xf>
    <xf numFmtId="0" fontId="17" fillId="13" borderId="0" xfId="0" applyFont="1" applyFill="1"/>
    <xf numFmtId="0" fontId="3" fillId="7" borderId="9" xfId="0" applyFont="1" applyFill="1" applyBorder="1" applyAlignment="1">
      <alignment vertical="center" wrapText="1"/>
    </xf>
    <xf numFmtId="0" fontId="3" fillId="7" borderId="0" xfId="0" applyFont="1" applyFill="1"/>
    <xf numFmtId="0" fontId="3" fillId="7" borderId="0" xfId="0" applyFont="1" applyFill="1" applyBorder="1"/>
    <xf numFmtId="167" fontId="14" fillId="15" borderId="5" xfId="0" applyNumberFormat="1" applyFont="1" applyFill="1" applyBorder="1" applyAlignment="1">
      <alignment horizontal="left" vertical="center" wrapText="1"/>
    </xf>
    <xf numFmtId="0" fontId="3" fillId="15" borderId="9" xfId="0" applyFont="1" applyFill="1" applyBorder="1" applyAlignment="1">
      <alignment vertical="center" wrapText="1"/>
    </xf>
    <xf numFmtId="0" fontId="3" fillId="15" borderId="0" xfId="0" applyFont="1" applyFill="1"/>
    <xf numFmtId="0" fontId="3" fillId="15" borderId="0" xfId="0" applyFont="1" applyFill="1" applyBorder="1"/>
    <xf numFmtId="167" fontId="3" fillId="0" borderId="3" xfId="0" applyNumberFormat="1" applyFont="1" applyFill="1" applyBorder="1" applyAlignment="1">
      <alignment horizontal="right" vertical="center" wrapText="1"/>
    </xf>
    <xf numFmtId="0" fontId="14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horizontal="left" vertical="center"/>
    </xf>
    <xf numFmtId="0" fontId="14" fillId="0" borderId="25" xfId="0" applyFont="1" applyFill="1" applyBorder="1" applyAlignment="1">
      <alignment horizontal="left" vertical="center"/>
    </xf>
    <xf numFmtId="167" fontId="14" fillId="0" borderId="24" xfId="0" applyNumberFormat="1" applyFont="1" applyFill="1" applyBorder="1" applyAlignment="1">
      <alignment horizontal="right" vertical="center"/>
    </xf>
    <xf numFmtId="167" fontId="14" fillId="0" borderId="5" xfId="0" applyNumberFormat="1" applyFont="1" applyFill="1" applyBorder="1" applyAlignment="1">
      <alignment horizontal="left" vertical="center"/>
    </xf>
    <xf numFmtId="0" fontId="14" fillId="0" borderId="9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4" fontId="14" fillId="0" borderId="0" xfId="0" applyNumberFormat="1" applyFont="1" applyFill="1"/>
    <xf numFmtId="4" fontId="14" fillId="0" borderId="0" xfId="0" applyNumberFormat="1" applyFont="1" applyFill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horizontal="left" vertical="center"/>
    </xf>
    <xf numFmtId="167" fontId="3" fillId="7" borderId="9" xfId="0" applyNumberFormat="1" applyFont="1" applyFill="1" applyBorder="1" applyAlignment="1">
      <alignment horizontal="right" vertical="center" wrapText="1"/>
    </xf>
    <xf numFmtId="4" fontId="14" fillId="16" borderId="9" xfId="0" applyNumberFormat="1" applyFont="1" applyFill="1" applyBorder="1"/>
    <xf numFmtId="4" fontId="14" fillId="16" borderId="0" xfId="0" applyNumberFormat="1" applyFont="1" applyFill="1" applyBorder="1" applyAlignment="1">
      <alignment horizontal="left"/>
    </xf>
    <xf numFmtId="4" fontId="14" fillId="16" borderId="0" xfId="0" applyNumberFormat="1" applyFont="1" applyFill="1" applyAlignment="1">
      <alignment horizontal="left"/>
    </xf>
    <xf numFmtId="4" fontId="14" fillId="16" borderId="0" xfId="0" applyNumberFormat="1" applyFont="1" applyFill="1"/>
    <xf numFmtId="0" fontId="14" fillId="0" borderId="9" xfId="0" applyFont="1" applyBorder="1"/>
    <xf numFmtId="0" fontId="14" fillId="16" borderId="9" xfId="0" applyFont="1" applyFill="1" applyBorder="1"/>
    <xf numFmtId="0" fontId="14" fillId="0" borderId="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16" borderId="0" xfId="0" applyFont="1" applyFill="1" applyAlignment="1">
      <alignment horizontal="left"/>
    </xf>
    <xf numFmtId="2" fontId="3" fillId="0" borderId="9" xfId="0" applyNumberFormat="1" applyFont="1" applyBorder="1" applyAlignment="1">
      <alignment horizontal="left" indent="2"/>
    </xf>
    <xf numFmtId="4" fontId="3" fillId="0" borderId="9" xfId="0" applyNumberFormat="1" applyFont="1" applyBorder="1"/>
    <xf numFmtId="4" fontId="14" fillId="0" borderId="9" xfId="0" applyNumberFormat="1" applyFont="1" applyBorder="1"/>
    <xf numFmtId="4" fontId="14" fillId="0" borderId="0" xfId="0" applyNumberFormat="1" applyFont="1" applyBorder="1" applyAlignment="1">
      <alignment horizontal="left"/>
    </xf>
    <xf numFmtId="4" fontId="3" fillId="16" borderId="9" xfId="0" applyNumberFormat="1" applyFont="1" applyFill="1" applyBorder="1"/>
    <xf numFmtId="0" fontId="14" fillId="16" borderId="0" xfId="0" applyFont="1" applyFill="1"/>
    <xf numFmtId="167" fontId="14" fillId="16" borderId="0" xfId="0" applyNumberFormat="1" applyFont="1" applyFill="1"/>
    <xf numFmtId="4" fontId="3" fillId="40" borderId="30" xfId="5" applyNumberFormat="1" applyFont="1" applyFill="1" applyBorder="1" applyAlignment="1">
      <alignment horizontal="left" vertical="center" wrapText="1"/>
    </xf>
    <xf numFmtId="4" fontId="17" fillId="0" borderId="30" xfId="5" applyNumberFormat="1" applyFont="1" applyFill="1" applyBorder="1" applyAlignment="1">
      <alignment horizontal="left" vertical="center" wrapText="1"/>
    </xf>
    <xf numFmtId="4" fontId="16" fillId="40" borderId="30" xfId="5" applyNumberFormat="1" applyFont="1" applyFill="1" applyBorder="1" applyAlignment="1">
      <alignment horizontal="left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47" fillId="0" borderId="0" xfId="0" applyFont="1"/>
    <xf numFmtId="0" fontId="8" fillId="0" borderId="9" xfId="0" applyFont="1" applyFill="1" applyBorder="1" applyAlignment="1">
      <alignment horizontal="center" vertical="center" wrapText="1"/>
    </xf>
    <xf numFmtId="2" fontId="48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/>
    <xf numFmtId="1" fontId="2" fillId="0" borderId="9" xfId="0" applyNumberFormat="1" applyFont="1" applyBorder="1"/>
    <xf numFmtId="4" fontId="2" fillId="0" borderId="9" xfId="0" applyNumberFormat="1" applyFont="1" applyBorder="1"/>
    <xf numFmtId="0" fontId="4" fillId="0" borderId="0" xfId="0" applyFont="1"/>
    <xf numFmtId="4" fontId="8" fillId="0" borderId="9" xfId="0" applyNumberFormat="1" applyFont="1" applyFill="1" applyBorder="1" applyAlignment="1">
      <alignment horizontal="center" vertical="center" wrapText="1"/>
    </xf>
    <xf numFmtId="166" fontId="48" fillId="0" borderId="9" xfId="0" applyNumberFormat="1" applyFont="1" applyFill="1" applyBorder="1" applyAlignment="1">
      <alignment horizontal="center" vertical="center" wrapText="1"/>
    </xf>
    <xf numFmtId="166" fontId="8" fillId="0" borderId="9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50" fillId="0" borderId="9" xfId="0" applyFont="1" applyFill="1" applyBorder="1" applyAlignment="1">
      <alignment horizontal="center"/>
    </xf>
    <xf numFmtId="4" fontId="9" fillId="0" borderId="9" xfId="0" applyNumberFormat="1" applyFont="1" applyFill="1" applyBorder="1" applyAlignment="1">
      <alignment horizontal="center" vertical="center" wrapText="1"/>
    </xf>
    <xf numFmtId="4" fontId="48" fillId="0" borderId="9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2" fontId="54" fillId="0" borderId="9" xfId="103" applyNumberFormat="1" applyFont="1" applyFill="1" applyBorder="1" applyAlignment="1">
      <alignment vertical="center" wrapText="1"/>
    </xf>
    <xf numFmtId="2" fontId="2" fillId="0" borderId="0" xfId="0" applyNumberFormat="1" applyFont="1"/>
    <xf numFmtId="2" fontId="2" fillId="0" borderId="9" xfId="0" applyNumberFormat="1" applyFont="1" applyBorder="1"/>
    <xf numFmtId="10" fontId="48" fillId="42" borderId="9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right"/>
    </xf>
    <xf numFmtId="9" fontId="2" fillId="0" borderId="9" xfId="2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9" xfId="0" applyNumberFormat="1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9" fontId="2" fillId="0" borderId="5" xfId="2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51" fillId="0" borderId="2" xfId="0" applyFont="1" applyFill="1" applyBorder="1" applyAlignment="1">
      <alignment horizontal="left" vertical="center" wrapText="1"/>
    </xf>
    <xf numFmtId="167" fontId="2" fillId="0" borderId="9" xfId="0" applyNumberFormat="1" applyFont="1" applyFill="1" applyBorder="1"/>
    <xf numFmtId="0" fontId="51" fillId="0" borderId="9" xfId="0" applyFont="1" applyFill="1" applyBorder="1" applyAlignment="1">
      <alignment horizontal="left" vertical="center" wrapText="1"/>
    </xf>
    <xf numFmtId="0" fontId="47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top" wrapText="1"/>
    </xf>
    <xf numFmtId="167" fontId="46" fillId="0" borderId="9" xfId="0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10" fontId="10" fillId="0" borderId="9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0" fontId="49" fillId="0" borderId="9" xfId="0" applyFont="1" applyFill="1" applyBorder="1" applyAlignment="1">
      <alignment horizontal="center" vertical="center" wrapText="1"/>
    </xf>
    <xf numFmtId="2" fontId="49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46" fillId="0" borderId="9" xfId="0" applyFont="1" applyFill="1" applyBorder="1" applyAlignment="1">
      <alignment vertical="top" wrapText="1"/>
    </xf>
    <xf numFmtId="0" fontId="46" fillId="0" borderId="9" xfId="0" applyFont="1" applyFill="1" applyBorder="1" applyAlignment="1">
      <alignment horizontal="center"/>
    </xf>
    <xf numFmtId="0" fontId="55" fillId="0" borderId="0" xfId="0" applyFont="1" applyAlignment="1">
      <alignment horizontal="left" vertical="top" wrapText="1"/>
    </xf>
    <xf numFmtId="0" fontId="47" fillId="0" borderId="9" xfId="0" applyFont="1" applyFill="1" applyBorder="1" applyAlignment="1">
      <alignment horizontal="center" vertical="center" wrapText="1"/>
    </xf>
    <xf numFmtId="0" fontId="47" fillId="0" borderId="9" xfId="0" applyFont="1" applyFill="1" applyBorder="1" applyAlignment="1">
      <alignment horizontal="center" vertical="center"/>
    </xf>
    <xf numFmtId="0" fontId="57" fillId="0" borderId="9" xfId="0" applyFont="1" applyFill="1" applyBorder="1" applyAlignment="1">
      <alignment horizontal="center" vertical="center" wrapText="1"/>
    </xf>
    <xf numFmtId="0" fontId="56" fillId="0" borderId="9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0" fontId="56" fillId="0" borderId="8" xfId="0" applyFont="1" applyFill="1" applyBorder="1" applyAlignment="1">
      <alignment horizontal="center" vertical="center" wrapText="1"/>
    </xf>
    <xf numFmtId="0" fontId="47" fillId="0" borderId="9" xfId="0" applyFont="1" applyBorder="1" applyAlignment="1">
      <alignment horizontal="center" vertical="center" wrapText="1"/>
    </xf>
    <xf numFmtId="0" fontId="47" fillId="0" borderId="9" xfId="0" applyFont="1" applyBorder="1" applyAlignment="1">
      <alignment horizontal="center" vertical="center"/>
    </xf>
    <xf numFmtId="0" fontId="57" fillId="3" borderId="9" xfId="0" applyFont="1" applyFill="1" applyBorder="1" applyAlignment="1">
      <alignment horizontal="center" vertical="center" wrapText="1"/>
    </xf>
    <xf numFmtId="0" fontId="56" fillId="3" borderId="9" xfId="0" applyFont="1" applyFill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56" fillId="3" borderId="8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Alignment="1">
      <alignment horizontal="left" vertical="center"/>
    </xf>
    <xf numFmtId="0" fontId="55" fillId="0" borderId="0" xfId="0" applyFont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56" fillId="0" borderId="3" xfId="0" applyFont="1" applyFill="1" applyBorder="1" applyAlignment="1">
      <alignment horizontal="center" vertical="center" wrapText="1"/>
    </xf>
    <xf numFmtId="0" fontId="56" fillId="0" borderId="8" xfId="0" applyFont="1" applyFill="1" applyBorder="1" applyAlignment="1">
      <alignment horizontal="center" vertical="center" wrapText="1"/>
    </xf>
    <xf numFmtId="0" fontId="56" fillId="0" borderId="11" xfId="0" applyFont="1" applyFill="1" applyBorder="1" applyAlignment="1">
      <alignment horizontal="center" vertical="center" wrapText="1"/>
    </xf>
    <xf numFmtId="0" fontId="56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7" fillId="0" borderId="27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center" vertical="center" wrapText="1"/>
    </xf>
    <xf numFmtId="0" fontId="47" fillId="0" borderId="27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7" fillId="0" borderId="6" xfId="0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56" fillId="3" borderId="3" xfId="0" applyFont="1" applyFill="1" applyBorder="1" applyAlignment="1">
      <alignment horizontal="center" vertical="center" wrapText="1"/>
    </xf>
    <xf numFmtId="0" fontId="56" fillId="3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6" fillId="3" borderId="11" xfId="0" applyFont="1" applyFill="1" applyBorder="1" applyAlignment="1">
      <alignment horizontal="center" vertical="center" wrapText="1"/>
    </xf>
    <xf numFmtId="0" fontId="56" fillId="3" borderId="12" xfId="0" applyFont="1" applyFill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3" xfId="3" applyFont="1" applyFill="1" applyAlignment="1">
      <alignment horizontal="left" vertical="center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horizontal="left" vertical="center" wrapText="1"/>
    </xf>
    <xf numFmtId="0" fontId="14" fillId="0" borderId="18" xfId="0" applyFont="1" applyFill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</cellXfs>
  <cellStyles count="110">
    <cellStyle name="_x000a_bidires=100_x000d_" xfId="6"/>
    <cellStyle name="_x000a_bidires=100_x000d_ 2 2 2 2" xfId="7"/>
    <cellStyle name="_x000a_bidires=100_x000d_ 5" xfId="8"/>
    <cellStyle name="20% - Акцент1 2" xfId="9"/>
    <cellStyle name="20% - Акцент2 2" xfId="10"/>
    <cellStyle name="20% - Акцент3 2" xfId="5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2 3" xfId="16"/>
    <cellStyle name="40% - Акцент2 3 2" xfId="17"/>
    <cellStyle name="40% - Акцент2 3 3" xfId="18"/>
    <cellStyle name="40% - Акцент3 2" xfId="19"/>
    <cellStyle name="40% - Акцент4 2" xfId="20"/>
    <cellStyle name="40% - Акцент5 2" xfId="21"/>
    <cellStyle name="40% - Акцент6 2" xfId="22"/>
    <cellStyle name="60% - Акцент1 2" xfId="23"/>
    <cellStyle name="60% - Акцент2 2" xfId="24"/>
    <cellStyle name="60% - Акцент3 2" xfId="25"/>
    <cellStyle name="60% - Акцент4 2" xfId="26"/>
    <cellStyle name="60% - Акцент5 2" xfId="27"/>
    <cellStyle name="60% - Акцент6 2" xfId="28"/>
    <cellStyle name="Euro" xfId="29"/>
    <cellStyle name="Normal_ФОРМЫ для обсуждения - MM" xfId="104"/>
    <cellStyle name="Акт" xfId="30"/>
    <cellStyle name="АктМТСН" xfId="31"/>
    <cellStyle name="Акцент1 2" xfId="32"/>
    <cellStyle name="Акцент2" xfId="4" builtinId="33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едРесурсов" xfId="39"/>
    <cellStyle name="ВедРесурсовАкт" xfId="40"/>
    <cellStyle name="Вывод" xfId="1" builtinId="21"/>
    <cellStyle name="Вывод 2" xfId="41"/>
    <cellStyle name="Вычисление 2" xfId="42"/>
    <cellStyle name="Денежный 2" xfId="43"/>
    <cellStyle name="Заголовок" xfId="44"/>
    <cellStyle name="Заголовок 1" xfId="3" builtinId="16"/>
    <cellStyle name="Заголовок 1 2" xfId="45"/>
    <cellStyle name="Заголовок 2 2" xfId="46"/>
    <cellStyle name="Заголовок 3 2" xfId="47"/>
    <cellStyle name="Заголовок 4 2" xfId="48"/>
    <cellStyle name="ЗаголовокСтолбца" xfId="49"/>
    <cellStyle name="Значение" xfId="50"/>
    <cellStyle name="Итог 2" xfId="51"/>
    <cellStyle name="Итоги" xfId="52"/>
    <cellStyle name="ИтогоАктБазЦ" xfId="53"/>
    <cellStyle name="ИтогоАктБИМ" xfId="54"/>
    <cellStyle name="ИтогоАктРесМет" xfId="55"/>
    <cellStyle name="ИтогоАктТекЦ" xfId="56"/>
    <cellStyle name="ИтогоБазЦ" xfId="57"/>
    <cellStyle name="ИтогоБИМ" xfId="58"/>
    <cellStyle name="ИтогоРесМет" xfId="59"/>
    <cellStyle name="ИтогоТекЦ" xfId="60"/>
    <cellStyle name="Контрольная ячейка 2" xfId="61"/>
    <cellStyle name="ЛокСмета" xfId="62"/>
    <cellStyle name="ЛокСмета 2" xfId="63"/>
    <cellStyle name="ЛокСмМТСН" xfId="64"/>
    <cellStyle name="М29" xfId="65"/>
    <cellStyle name="Нейтральный 2" xfId="66"/>
    <cellStyle name="ОбСмета" xfId="67"/>
    <cellStyle name="Обычный" xfId="0" builtinId="0"/>
    <cellStyle name="Обычный 100" xfId="68"/>
    <cellStyle name="Обычный 2" xfId="69"/>
    <cellStyle name="Обычный 2 2" xfId="70"/>
    <cellStyle name="Обычный 2 2 2" xfId="71"/>
    <cellStyle name="Обычный 2 2 3" xfId="72"/>
    <cellStyle name="Обычный 2 3" xfId="73"/>
    <cellStyle name="Обычный 3" xfId="74"/>
    <cellStyle name="Обычный 3 2" xfId="75"/>
    <cellStyle name="Обычный 4" xfId="76"/>
    <cellStyle name="Обычный 4 2" xfId="77"/>
    <cellStyle name="Обычный 4 3" xfId="78"/>
    <cellStyle name="Обычный 4 4" xfId="79"/>
    <cellStyle name="Обычный 4 5" xfId="105"/>
    <cellStyle name="Обычный 5" xfId="80"/>
    <cellStyle name="Обычный 5 2" xfId="106"/>
    <cellStyle name="Обычный 6" xfId="81"/>
    <cellStyle name="Обычный 9_РЕЕСТР для компаний группы" xfId="82"/>
    <cellStyle name="Параметр" xfId="83"/>
    <cellStyle name="ПеременныеСметы" xfId="84"/>
    <cellStyle name="Плохой 2" xfId="85"/>
    <cellStyle name="Плохой 3" xfId="107"/>
    <cellStyle name="Пояснение 2" xfId="86"/>
    <cellStyle name="Примечание" xfId="103" builtinId="10"/>
    <cellStyle name="Примечание 2" xfId="87"/>
    <cellStyle name="Примечание 3" xfId="88"/>
    <cellStyle name="Процентный" xfId="2" builtinId="5"/>
    <cellStyle name="Процентный 2" xfId="89"/>
    <cellStyle name="Процентный 3" xfId="108"/>
    <cellStyle name="Процентный 4" xfId="109"/>
    <cellStyle name="РесСмета" xfId="90"/>
    <cellStyle name="СводкаСтоимРаб" xfId="91"/>
    <cellStyle name="СводРасч" xfId="92"/>
    <cellStyle name="Связанная ячейка 2" xfId="93"/>
    <cellStyle name="Текст предупреждения 2" xfId="94"/>
    <cellStyle name="Титул" xfId="95"/>
    <cellStyle name="Титул 2" xfId="96"/>
    <cellStyle name="Финансовый 2" xfId="97"/>
    <cellStyle name="Финансовый 3" xfId="98"/>
    <cellStyle name="ФормулаВБ_Мониторинг инвестиций" xfId="99"/>
    <cellStyle name="Хвост" xfId="100"/>
    <cellStyle name="Хороший 2" xfId="101"/>
    <cellStyle name="Экспертиза" xfId="10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smirnova/AppData/Roaming/Microsoft/Excel/&#1052;&#1054;&#1053;&#1048;&#1058;&#1054;&#1056;&#1048;&#1053;&#1043;_&#1048;&#1055;/&#1060;&#1040;&#1050;&#1058;_4_&#1082;&#1074;&#1072;&#1088;&#1090;&#1072;&#1083;_2016/&#1050;&#1040;&#1051;&#1059;&#1043;&#1040;/INV.WATER.VO.Q4.2016(v1.0)%20&#1050;&#1072;&#1083;&#1091;&#107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6;&#1077;&#1077;&#1089;&#1090;&#1088;&#1099;%202010\&#1048;&#1102;&#1085;&#1100;\&#1056;&#1045;&#1045;&#1057;&#1058;&#1056;%20&#1076;&#1083;&#1103;%20&#1082;&#1086;&#1084;&#1087;&#1072;&#1085;&#1080;&#1081;%20&#1075;&#1088;&#1091;&#1087;&#1087;&#1099;_&#1080;&#1102;&#1085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6;&#1077;&#1077;&#1089;&#1090;&#1088;&#1099;%202010\&#1052;&#1072;&#1081;\&#1056;&#1045;&#1045;&#1057;&#1058;&#1056;%20&#1076;&#1083;&#1103;%20&#1082;&#1086;&#1084;&#1087;&#1072;&#1085;&#1080;&#1081;%20&#1075;&#1088;&#1091;&#1087;&#1087;&#109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99;&#1081;/&#1060;&#1080;&#1085;&#1072;&#1085;&#1089;&#1086;&#1074;&#1099;&#1081;%202/Finans/&#1055;&#1069;&#1054;/&#1055;&#1056;&#1054;&#1048;&#1047;&#1042;&#1054;&#1044;&#1057;&#1058;&#1042;&#1045;&#1053;&#1053;&#1040;&#1071;%202024/&#1058;&#1072;&#1088;&#1080;&#1092;&#1099;%20&#1043;&#1055;%202024%20&#1076;&#1080;&#1092;&#1092;&#1077;&#1088;&#1077;&#1085;&#1094;&#1080;&#1088;&#1086;&#1074;&#1072;&#1085;&#1085;&#1099;&#1077;/&#1051;&#1102;&#1076;&#1080;&#1085;&#1086;&#1074;&#1086;/MKP.HVS.PLAN.2024%202028_&#1051;&#1102;&#1076;&#1080;&#1085;&#1086;&#1074;&#108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99;&#1081;/&#1060;&#1080;&#1085;&#1072;&#1085;&#1089;&#1086;&#1074;&#1099;&#1081;%202/Finans/&#1055;&#1069;&#1054;/&#1055;&#1056;&#1054;&#1048;&#1047;&#1042;&#1054;&#1044;&#1057;&#1058;&#1042;&#1045;&#1053;&#1053;&#1040;&#1071;%202024/&#1058;&#1072;&#1088;&#1080;&#1092;&#1099;%20&#1043;&#1055;%202024%20&#1076;&#1080;&#1092;&#1092;&#1077;&#1088;&#1077;&#1085;&#1094;&#1080;&#1088;&#1086;&#1074;&#1072;&#1085;&#1085;&#1099;&#1077;/&#1051;&#1102;&#1076;&#1080;&#1085;&#1086;&#1074;&#1086;/MKP.VO.PLAN.2024%202028_&#1051;&#1102;&#1076;&#1080;&#1085;&#1086;&#1074;&#10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99;&#1081;/&#1060;&#1080;&#1085;&#1072;&#1085;&#1089;&#1086;&#1074;&#1099;&#1081;%202/Finans/&#1055;&#1069;&#1054;/&#1048;&#1053;&#1042;&#1045;&#1057;&#1058;&#1048;&#1062;&#1048;&#1054;&#1053;&#1053;&#1040;&#1071;%20&#1055;&#1056;&#1054;&#1043;&#1056;&#1040;&#1052;&#1052;&#1040;/&#1048;&#1055;%20&#1050;&#1040;&#1051;&#1059;&#1043;&#1040;_&#1091;&#1090;&#1074;&#1077;&#1088;&#1078;&#1076;&#1077;&#1085;&#1072;/&#1050;&#1054;&#1056;&#1056;&#1045;&#1050;&#1058;&#1048;&#1056;&#1054;&#1042;&#1050;&#1040;/&#1048;&#1055;/&#1050;&#1054;&#1056;&#1056;&#1045;&#1050;&#1058;&#1048;&#1056;&#1054;&#1042;&#1050;&#1040;%202022/&#1086;&#1073;&#1088;&#1072;&#1097;&#1077;&#1085;&#1080;&#1077;%2020.07.2022/&#1055;&#1088;&#1080;&#1083;&#1086;&#1078;&#1077;&#1085;&#1080;&#1077;%201%20&#1082;%20&#1048;&#1055;_&#1050;&#1040;&#1051;&#1059;&#1043;&#1040;%202021-2023%20&#1055;&#1077;&#1088;&#1077;&#1095;&#1077;&#1085;&#1100;%20&#1084;&#1077;&#1088;&#1086;&#1087;&#1088;&#1080;&#1103;&#1090;&#1080;&#1081;_06.05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ИП"/>
      <sheetName val="Комментарии"/>
      <sheetName val="Проверка"/>
      <sheetName val="et_union"/>
      <sheetName val="TEHSHEET"/>
      <sheetName val="modFill"/>
      <sheetName val="modProv"/>
      <sheetName val="modList00"/>
      <sheetName val="modReestr"/>
      <sheetName val="modfrmReestr"/>
      <sheetName val="AllSheetsInThisWorkbook"/>
      <sheetName val="modInstruction"/>
      <sheetName val="modUpdTemplMain"/>
      <sheetName val="modfrmCheckUpdates"/>
      <sheetName val="modfrmDateChoose"/>
      <sheetName val="modfrmRegion"/>
      <sheetName val="REESTR_MO"/>
      <sheetName val="REESTR_ORG"/>
      <sheetName val="modClassifierValidate"/>
      <sheetName val="modHyp"/>
      <sheetName val="modList01"/>
      <sheetName val="modListComm"/>
      <sheetName val="modInfo"/>
      <sheetName val="INV.WATER.VO.Q4.2016(v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V2" t="str">
            <v>Инвестиционная программа Государственного предприятия Калужской области "Калугаоблводоканал" по развитию систем водоснабжения и водоотведения муниципального образования "Город Калуга" на 2014-2018 гг.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и-банки"/>
      <sheetName val="статьи бюджета"/>
      <sheetName val="контрагенты"/>
      <sheetName val="БДДС ГО..КРС"/>
      <sheetName val="БДДС КРС..ЧЛБ"/>
      <sheetName val="бюджет-факт"/>
      <sheetName val="01062010"/>
      <sheetName val="02062010"/>
      <sheetName val="26052010"/>
      <sheetName val="27052010"/>
      <sheetName val="28052010"/>
      <sheetName val="31052010 "/>
      <sheetName val="03062010г"/>
      <sheetName val="04062010"/>
      <sheetName val="07062010"/>
      <sheetName val="09062010"/>
      <sheetName val="10062010"/>
      <sheetName val="11062010"/>
      <sheetName val="15062010"/>
      <sheetName val="17062010"/>
      <sheetName val="18062010"/>
      <sheetName val="21062010"/>
      <sheetName val="22062010"/>
      <sheetName val="23062010"/>
      <sheetName val="25062010"/>
      <sheetName val="28062010"/>
      <sheetName val="29062010"/>
      <sheetName val="30062010"/>
      <sheetName val="..."/>
      <sheetName val="последнее число месяца"/>
      <sheetName val="Лист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и-банки"/>
      <sheetName val="статьи бюджета"/>
      <sheetName val="контрагенты"/>
      <sheetName val="БДДС ГО..КРС"/>
      <sheetName val="БДДС КРС..ЧЛБ"/>
      <sheetName val="бюджет-факт"/>
      <sheetName val="13052010"/>
      <sheetName val="14052010 "/>
      <sheetName val="04052010"/>
      <sheetName val="15042010"/>
      <sheetName val="16042010 "/>
      <sheetName val="05052010"/>
      <sheetName val="06052010"/>
      <sheetName val="11052010"/>
      <sheetName val="17052010"/>
      <sheetName val="18052010"/>
      <sheetName val="19052010"/>
      <sheetName val="20052010"/>
      <sheetName val="21052010"/>
      <sheetName val="26052010"/>
      <sheetName val="27052010"/>
      <sheetName val="28052010"/>
      <sheetName val=" число"/>
      <sheetName val="..."/>
      <sheetName val="последнее число месяца"/>
      <sheetName val="Лист1"/>
      <sheetName val="31052010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рг"/>
      <sheetName val="Справочно!!!"/>
      <sheetName val="РЕЕСТР"/>
      <sheetName val="Баланс"/>
      <sheetName val="Расчет объема"/>
      <sheetName val="НВВ"/>
      <sheetName val="Норм численность "/>
      <sheetName val="Расчет электр. "/>
      <sheetName val="Химреагенты"/>
      <sheetName val="Лист2"/>
      <sheetName val="Амортизация"/>
      <sheetName val="ПП Раздел 1"/>
      <sheetName val="ПП Раздел 2"/>
      <sheetName val="ПП Раздел 3"/>
      <sheetName val="ПП Раздел 4"/>
      <sheetName val="Раздел 5"/>
      <sheetName val="ПП Раздел 6"/>
      <sheetName val="ПП Раздел 7"/>
      <sheetName val="Раздел 7 отчт"/>
      <sheetName val="ПП Раздел 8"/>
    </sheetNames>
    <sheetDataSet>
      <sheetData sheetId="0" refreshError="1"/>
      <sheetData sheetId="1" refreshError="1"/>
      <sheetData sheetId="2" refreshError="1"/>
      <sheetData sheetId="3" refreshError="1">
        <row r="5">
          <cell r="J5">
            <v>2623.5429999999997</v>
          </cell>
        </row>
        <row r="15">
          <cell r="J15">
            <v>251.54399999999987</v>
          </cell>
        </row>
      </sheetData>
      <sheetData sheetId="4" refreshError="1"/>
      <sheetData sheetId="5" refreshError="1">
        <row r="136">
          <cell r="P136">
            <v>3000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рг"/>
      <sheetName val="Справочно!!!"/>
      <sheetName val="РЕЕСТР"/>
      <sheetName val="Баланс"/>
      <sheetName val="Расчет объема"/>
      <sheetName val="НВВ"/>
      <sheetName val="Расчет электроэн."/>
      <sheetName val="Норм численность"/>
      <sheetName val="Химреагенты"/>
      <sheetName val="Лист1"/>
      <sheetName val="Амортизация"/>
      <sheetName val="ПП Раздел 1"/>
      <sheetName val="ПП Раздел 2"/>
      <sheetName val="ПП Раздел 3"/>
      <sheetName val="ПП Раздел 4"/>
      <sheetName val="ПП Раздел 5"/>
      <sheetName val="ПП Раздел 6"/>
      <sheetName val="ПП Раздел 7"/>
      <sheetName val="Раздел 7 отчт"/>
      <sheetName val="ПП Раздел 8"/>
      <sheetName val="Плата за НН и Н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33">
          <cell r="P133">
            <v>1700</v>
          </cell>
        </row>
        <row r="136">
          <cell r="P136">
            <v>1230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тарифа"/>
      <sheetName val="Мероприятия_и_источники_КОРРЕКТ"/>
      <sheetName val="Прил._2_План_ввода_объект._КОР"/>
      <sheetName val="Приложение_1_Ввод_мощностей_КОР"/>
      <sheetName val="приложение_к_ПЗ"/>
      <sheetName val="Ист-ки_в_текст"/>
      <sheetName val="ПРАВГОРОД"/>
      <sheetName val="ООО_Веста_Веснушки"/>
      <sheetName val="ОАО_СПК_Мосэнергострой"/>
      <sheetName val="ООО_Стройдевелопментгрупп"/>
      <sheetName val="ООО_Смолартстрой"/>
      <sheetName val="УКС_Поликлиника_Фомушина"/>
      <sheetName val="ООО_Капитель"/>
      <sheetName val="ФСБ_Трамплинная"/>
      <sheetName val="АО_ПИК_Регион_Прав"/>
      <sheetName val="ООО_ПИК-Запад_Верх-Квань"/>
      <sheetName val="УМВД"/>
      <sheetName val="ЗАО СК Правый берег, квартал №5"/>
      <sheetName val="ЗАО_СК_Правый_берег_10кв"/>
    </sheetNames>
    <sheetDataSet>
      <sheetData sheetId="0"/>
      <sheetData sheetId="1">
        <row r="50">
          <cell r="X50">
            <v>200.4140011657002</v>
          </cell>
        </row>
      </sheetData>
      <sheetData sheetId="2">
        <row r="13">
          <cell r="D13" t="str">
            <v>Жилые дома, нежилые здания и помещения</v>
          </cell>
        </row>
      </sheetData>
      <sheetData sheetId="3"/>
      <sheetData sheetId="4">
        <row r="13">
          <cell r="Z13">
            <v>0</v>
          </cell>
        </row>
        <row r="14">
          <cell r="Z14" t="str">
            <v>Объект подключен, исключить</v>
          </cell>
        </row>
        <row r="17">
          <cell r="Z17">
            <v>0</v>
          </cell>
        </row>
        <row r="21">
          <cell r="Z21">
            <v>0</v>
          </cell>
        </row>
        <row r="22">
          <cell r="Z22">
            <v>0</v>
          </cell>
        </row>
        <row r="41">
          <cell r="Z41" t="str">
            <v>Мероприятие по водоотведению реализовано, исключить мощность по водоотведению</v>
          </cell>
        </row>
        <row r="43">
          <cell r="Z43">
            <v>0</v>
          </cell>
        </row>
        <row r="49">
          <cell r="Z49">
            <v>0</v>
          </cell>
        </row>
        <row r="94">
          <cell r="Z94">
            <v>0</v>
          </cell>
        </row>
        <row r="95">
          <cell r="Z95">
            <v>0</v>
          </cell>
        </row>
      </sheetData>
      <sheetData sheetId="5"/>
      <sheetData sheetId="6"/>
      <sheetData sheetId="7">
        <row r="27">
          <cell r="D27">
            <v>5536.7</v>
          </cell>
        </row>
      </sheetData>
      <sheetData sheetId="8">
        <row r="18">
          <cell r="D18">
            <v>242.25</v>
          </cell>
        </row>
      </sheetData>
      <sheetData sheetId="9">
        <row r="18">
          <cell r="D18">
            <v>502.7</v>
          </cell>
        </row>
      </sheetData>
      <sheetData sheetId="10">
        <row r="18">
          <cell r="D18">
            <v>134.5</v>
          </cell>
        </row>
      </sheetData>
      <sheetData sheetId="11">
        <row r="18">
          <cell r="D18">
            <v>57.6</v>
          </cell>
        </row>
      </sheetData>
      <sheetData sheetId="12">
        <row r="19">
          <cell r="D19">
            <v>179.67</v>
          </cell>
        </row>
      </sheetData>
      <sheetData sheetId="13">
        <row r="18">
          <cell r="D18">
            <v>61.89</v>
          </cell>
        </row>
      </sheetData>
      <sheetData sheetId="14">
        <row r="18">
          <cell r="D18">
            <v>710.91</v>
          </cell>
        </row>
      </sheetData>
      <sheetData sheetId="15">
        <row r="18">
          <cell r="D18">
            <v>193.56</v>
          </cell>
        </row>
      </sheetData>
      <sheetData sheetId="16">
        <row r="18">
          <cell r="D18">
            <v>73.5</v>
          </cell>
        </row>
      </sheetData>
      <sheetData sheetId="17">
        <row r="18">
          <cell r="D18">
            <v>560</v>
          </cell>
        </row>
      </sheetData>
      <sheetData sheetId="18">
        <row r="18">
          <cell r="D18">
            <v>720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V61"/>
  <sheetViews>
    <sheetView tabSelected="1" view="pageBreakPreview" zoomScale="85" zoomScaleNormal="70" zoomScaleSheetLayoutView="85" workbookViewId="0">
      <pane xSplit="4" ySplit="5" topLeftCell="E6" activePane="bottomRight" state="frozen"/>
      <selection pane="topRight" activeCell="D1" sqref="D1"/>
      <selection pane="bottomLeft" activeCell="A4" sqref="A4"/>
      <selection pane="bottomRight" activeCell="I1" sqref="I1:N1"/>
    </sheetView>
  </sheetViews>
  <sheetFormatPr defaultRowHeight="15" outlineLevelRow="1" outlineLevelCol="2" x14ac:dyDescent="0.25"/>
  <cols>
    <col min="1" max="1" width="2.85546875" style="1" customWidth="1"/>
    <col min="2" max="2" width="8.28515625" style="1" customWidth="1"/>
    <col min="3" max="3" width="28.140625" style="1" customWidth="1"/>
    <col min="4" max="4" width="58.140625" style="1" customWidth="1"/>
    <col min="5" max="5" width="18" style="1" customWidth="1"/>
    <col min="6" max="7" width="13.42578125" style="1" hidden="1" customWidth="1" outlineLevel="2"/>
    <col min="8" max="9" width="13.85546875" style="1" hidden="1" customWidth="1" outlineLevel="2"/>
    <col min="10" max="10" width="12" style="1" customWidth="1" collapsed="1"/>
    <col min="11" max="11" width="12" style="1" customWidth="1"/>
    <col min="12" max="16" width="11.42578125" style="1" customWidth="1"/>
    <col min="17" max="17" width="11" style="1" hidden="1" customWidth="1" outlineLevel="1"/>
    <col min="18" max="18" width="10" style="1" hidden="1" customWidth="1" outlineLevel="1"/>
    <col min="19" max="21" width="9.140625" style="1" hidden="1" customWidth="1" outlineLevel="1"/>
    <col min="22" max="22" width="9.140625" style="1" collapsed="1"/>
    <col min="23" max="16384" width="9.140625" style="1"/>
  </cols>
  <sheetData>
    <row r="1" spans="2:22" ht="140.25" customHeight="1" x14ac:dyDescent="0.3">
      <c r="I1" s="195" t="s">
        <v>190</v>
      </c>
      <c r="J1" s="195"/>
      <c r="K1" s="195"/>
      <c r="L1" s="195"/>
      <c r="M1" s="195"/>
      <c r="N1" s="195"/>
      <c r="O1" s="180"/>
      <c r="P1" s="180"/>
      <c r="Q1" s="134"/>
      <c r="T1" s="2"/>
    </row>
    <row r="2" spans="2:22" ht="61.5" customHeight="1" x14ac:dyDescent="0.25">
      <c r="C2" s="209" t="s">
        <v>189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2:22" x14ac:dyDescent="0.25">
      <c r="C3" s="128" t="s">
        <v>157</v>
      </c>
    </row>
    <row r="4" spans="2:22" x14ac:dyDescent="0.25">
      <c r="B4" s="226" t="s">
        <v>0</v>
      </c>
      <c r="C4" s="228" t="s">
        <v>1</v>
      </c>
      <c r="D4" s="228" t="s">
        <v>1</v>
      </c>
      <c r="E4" s="236" t="s">
        <v>3</v>
      </c>
      <c r="F4" s="210" t="s">
        <v>25</v>
      </c>
      <c r="G4" s="211"/>
      <c r="H4" s="212"/>
      <c r="I4" s="187" t="s">
        <v>183</v>
      </c>
      <c r="J4" s="188" t="s">
        <v>181</v>
      </c>
      <c r="K4" s="238" t="s">
        <v>2</v>
      </c>
      <c r="L4" s="239"/>
      <c r="M4" s="239"/>
      <c r="N4" s="239"/>
      <c r="O4" s="239"/>
      <c r="P4" s="240"/>
      <c r="Q4" s="222" t="s">
        <v>26</v>
      </c>
      <c r="R4" s="223"/>
      <c r="S4" s="223"/>
      <c r="T4" s="223"/>
      <c r="U4" s="224"/>
    </row>
    <row r="5" spans="2:22" x14ac:dyDescent="0.25">
      <c r="B5" s="227"/>
      <c r="C5" s="229"/>
      <c r="D5" s="229"/>
      <c r="E5" s="237"/>
      <c r="F5" s="189" t="s">
        <v>160</v>
      </c>
      <c r="G5" s="189" t="s">
        <v>161</v>
      </c>
      <c r="H5" s="190" t="s">
        <v>4</v>
      </c>
      <c r="I5" s="191" t="s">
        <v>182</v>
      </c>
      <c r="J5" s="192" t="s">
        <v>27</v>
      </c>
      <c r="K5" s="192" t="s">
        <v>28</v>
      </c>
      <c r="L5" s="192" t="s">
        <v>29</v>
      </c>
      <c r="M5" s="192" t="s">
        <v>30</v>
      </c>
      <c r="N5" s="192" t="s">
        <v>31</v>
      </c>
      <c r="O5" s="192" t="s">
        <v>187</v>
      </c>
      <c r="P5" s="192" t="s">
        <v>188</v>
      </c>
      <c r="Q5" s="3" t="s">
        <v>27</v>
      </c>
      <c r="R5" s="3" t="s">
        <v>28</v>
      </c>
      <c r="S5" s="3" t="s">
        <v>29</v>
      </c>
      <c r="T5" s="3" t="s">
        <v>30</v>
      </c>
      <c r="U5" s="3" t="s">
        <v>31</v>
      </c>
    </row>
    <row r="6" spans="2:22" ht="39" customHeight="1" x14ac:dyDescent="0.25">
      <c r="B6" s="230" t="s">
        <v>5</v>
      </c>
      <c r="C6" s="233" t="s">
        <v>6</v>
      </c>
      <c r="D6" s="4" t="s">
        <v>7</v>
      </c>
      <c r="E6" s="5" t="s">
        <v>8</v>
      </c>
      <c r="F6" s="130">
        <f>F8/F7*100</f>
        <v>0</v>
      </c>
      <c r="G6" s="130">
        <f>G8/G7*100</f>
        <v>0</v>
      </c>
      <c r="H6" s="130">
        <f>H8/H7*100</f>
        <v>0</v>
      </c>
      <c r="I6" s="149"/>
      <c r="J6" s="173">
        <f t="shared" ref="J6:U6" si="0">J7/J8</f>
        <v>0.5</v>
      </c>
      <c r="K6" s="173">
        <f t="shared" si="0"/>
        <v>0.50670241286863271</v>
      </c>
      <c r="L6" s="173">
        <f t="shared" si="0"/>
        <v>0.50670241286863271</v>
      </c>
      <c r="M6" s="173">
        <f t="shared" si="0"/>
        <v>0.50670241286863271</v>
      </c>
      <c r="N6" s="173">
        <f t="shared" si="0"/>
        <v>0.50670241286863271</v>
      </c>
      <c r="O6" s="173">
        <f t="shared" ref="O6:P6" si="1">O7/O8</f>
        <v>0.50670241286863271</v>
      </c>
      <c r="P6" s="173">
        <f t="shared" si="1"/>
        <v>0.50670241286863271</v>
      </c>
      <c r="Q6" s="174" t="e">
        <f t="shared" si="0"/>
        <v>#DIV/0!</v>
      </c>
      <c r="R6" s="174" t="e">
        <f t="shared" si="0"/>
        <v>#DIV/0!</v>
      </c>
      <c r="S6" s="174" t="e">
        <f t="shared" si="0"/>
        <v>#DIV/0!</v>
      </c>
      <c r="T6" s="174" t="e">
        <f t="shared" si="0"/>
        <v>#DIV/0!</v>
      </c>
      <c r="U6" s="174" t="e">
        <f t="shared" si="0"/>
        <v>#DIV/0!</v>
      </c>
    </row>
    <row r="7" spans="2:22" s="158" customFormat="1" ht="25.5" hidden="1" customHeight="1" outlineLevel="1" x14ac:dyDescent="0.25">
      <c r="B7" s="231"/>
      <c r="C7" s="234"/>
      <c r="D7" s="6" t="s">
        <v>9</v>
      </c>
      <c r="E7" s="129" t="s">
        <v>10</v>
      </c>
      <c r="F7" s="143">
        <v>375</v>
      </c>
      <c r="G7" s="143">
        <v>377</v>
      </c>
      <c r="H7" s="143">
        <v>370</v>
      </c>
      <c r="I7" s="143">
        <v>365</v>
      </c>
      <c r="J7" s="143">
        <f>309/10*12</f>
        <v>370.79999999999995</v>
      </c>
      <c r="K7" s="143">
        <v>945</v>
      </c>
      <c r="L7" s="143">
        <v>945</v>
      </c>
      <c r="M7" s="143">
        <v>945</v>
      </c>
      <c r="N7" s="143">
        <v>945</v>
      </c>
      <c r="O7" s="143">
        <v>945</v>
      </c>
      <c r="P7" s="143">
        <v>945</v>
      </c>
      <c r="Q7" s="157">
        <f>J7/H7-1</f>
        <v>2.1621621621621401E-3</v>
      </c>
      <c r="R7" s="157">
        <f>K7/$H7-1</f>
        <v>1.5540540540540539</v>
      </c>
      <c r="S7" s="157">
        <f>L7/$H$7-1</f>
        <v>1.5540540540540539</v>
      </c>
      <c r="T7" s="157">
        <f>M7/$H$7-1</f>
        <v>1.5540540540540539</v>
      </c>
      <c r="U7" s="157">
        <f>N7/$H$7-1</f>
        <v>1.5540540540540539</v>
      </c>
    </row>
    <row r="8" spans="2:22" s="158" customFormat="1" ht="48" hidden="1" customHeight="1" outlineLevel="1" x14ac:dyDescent="0.25">
      <c r="B8" s="231"/>
      <c r="C8" s="234"/>
      <c r="D8" s="6" t="s">
        <v>11</v>
      </c>
      <c r="E8" s="129" t="s">
        <v>10</v>
      </c>
      <c r="F8" s="143">
        <v>0</v>
      </c>
      <c r="G8" s="143">
        <v>0</v>
      </c>
      <c r="H8" s="143">
        <v>0</v>
      </c>
      <c r="I8" s="143">
        <v>0</v>
      </c>
      <c r="J8" s="143">
        <f>618/10*12</f>
        <v>741.59999999999991</v>
      </c>
      <c r="K8" s="143">
        <v>1865</v>
      </c>
      <c r="L8" s="143">
        <v>1865</v>
      </c>
      <c r="M8" s="143">
        <v>1865</v>
      </c>
      <c r="N8" s="143">
        <v>1865</v>
      </c>
      <c r="O8" s="143">
        <v>1865</v>
      </c>
      <c r="P8" s="143">
        <v>1865</v>
      </c>
      <c r="Q8" s="157"/>
      <c r="R8" s="157"/>
      <c r="S8" s="157"/>
      <c r="T8" s="157"/>
      <c r="U8" s="157"/>
    </row>
    <row r="9" spans="2:22" s="158" customFormat="1" ht="39.75" hidden="1" customHeight="1" outlineLevel="1" x14ac:dyDescent="0.25">
      <c r="B9" s="231"/>
      <c r="C9" s="234"/>
      <c r="D9" s="8" t="s">
        <v>12</v>
      </c>
      <c r="E9" s="7" t="s">
        <v>8</v>
      </c>
      <c r="F9" s="130">
        <f t="shared" ref="F9:N9" si="2">F11/F10*100</f>
        <v>42.511346444780635</v>
      </c>
      <c r="G9" s="130">
        <f t="shared" si="2"/>
        <v>25.646794150731157</v>
      </c>
      <c r="H9" s="130">
        <f t="shared" si="2"/>
        <v>21.526195899772212</v>
      </c>
      <c r="I9" s="130">
        <f t="shared" si="2"/>
        <v>0</v>
      </c>
      <c r="J9" s="130">
        <f t="shared" si="2"/>
        <v>5.3333333333333339</v>
      </c>
      <c r="K9" s="130">
        <f t="shared" si="2"/>
        <v>10.134048257372655</v>
      </c>
      <c r="L9" s="130">
        <f t="shared" si="2"/>
        <v>10.134048257372655</v>
      </c>
      <c r="M9" s="130">
        <f t="shared" si="2"/>
        <v>10.134048257372655</v>
      </c>
      <c r="N9" s="130">
        <f t="shared" si="2"/>
        <v>10.134048257372655</v>
      </c>
      <c r="O9" s="130">
        <f t="shared" ref="O9:P9" si="3">O11/O10*100</f>
        <v>10.134048257372655</v>
      </c>
      <c r="P9" s="130">
        <f t="shared" si="3"/>
        <v>10.134048257372655</v>
      </c>
      <c r="Q9" s="157">
        <f>IFERROR(J9/$H$6-1,)</f>
        <v>0</v>
      </c>
      <c r="R9" s="157">
        <f>IFERROR(K9/$H$6-1,)</f>
        <v>0</v>
      </c>
      <c r="S9" s="157">
        <f>IFERROR(L9/$H$6-1,)</f>
        <v>0</v>
      </c>
      <c r="T9" s="157">
        <f>IFERROR(M9/$H$6-1,)</f>
        <v>0</v>
      </c>
      <c r="U9" s="157">
        <f>IFERROR(N9/$H$6-1,)</f>
        <v>0</v>
      </c>
    </row>
    <row r="10" spans="2:22" s="158" customFormat="1" ht="32.25" hidden="1" customHeight="1" outlineLevel="1" x14ac:dyDescent="0.25">
      <c r="B10" s="231"/>
      <c r="C10" s="234"/>
      <c r="D10" s="6" t="s">
        <v>9</v>
      </c>
      <c r="E10" s="129" t="s">
        <v>10</v>
      </c>
      <c r="F10" s="10">
        <v>661</v>
      </c>
      <c r="G10" s="10">
        <v>889</v>
      </c>
      <c r="H10" s="10">
        <v>878</v>
      </c>
      <c r="I10" s="144">
        <v>360</v>
      </c>
      <c r="J10" s="144">
        <f>300/10*12</f>
        <v>360</v>
      </c>
      <c r="K10" s="144">
        <f t="shared" ref="K10:N10" si="4">K8</f>
        <v>1865</v>
      </c>
      <c r="L10" s="144">
        <f t="shared" si="4"/>
        <v>1865</v>
      </c>
      <c r="M10" s="144">
        <f t="shared" si="4"/>
        <v>1865</v>
      </c>
      <c r="N10" s="144">
        <f t="shared" si="4"/>
        <v>1865</v>
      </c>
      <c r="O10" s="144">
        <f t="shared" ref="O10:P10" si="5">O8</f>
        <v>1865</v>
      </c>
      <c r="P10" s="144">
        <f t="shared" si="5"/>
        <v>1865</v>
      </c>
      <c r="Q10" s="157">
        <f>J10/H10-1</f>
        <v>-0.58997722095671978</v>
      </c>
      <c r="R10" s="157">
        <f t="shared" ref="R10:R18" si="6">K10/$H10-1</f>
        <v>1.1241457858769932</v>
      </c>
      <c r="S10" s="157">
        <f>L10/$H$7-1</f>
        <v>4.0405405405405403</v>
      </c>
      <c r="T10" s="157">
        <f>M10/$H$7-1</f>
        <v>4.0405405405405403</v>
      </c>
      <c r="U10" s="157">
        <f>N10/$H$7-1</f>
        <v>4.0405405405405403</v>
      </c>
    </row>
    <row r="11" spans="2:22" s="158" customFormat="1" ht="42" hidden="1" customHeight="1" outlineLevel="1" x14ac:dyDescent="0.25">
      <c r="B11" s="232"/>
      <c r="C11" s="235"/>
      <c r="D11" s="6" t="s">
        <v>11</v>
      </c>
      <c r="E11" s="129" t="s">
        <v>10</v>
      </c>
      <c r="F11" s="10">
        <v>281</v>
      </c>
      <c r="G11" s="10">
        <v>228</v>
      </c>
      <c r="H11" s="10">
        <v>189</v>
      </c>
      <c r="I11" s="10">
        <v>0</v>
      </c>
      <c r="J11" s="10">
        <f>16/10*12</f>
        <v>19.200000000000003</v>
      </c>
      <c r="K11" s="10">
        <v>189</v>
      </c>
      <c r="L11" s="10">
        <v>189</v>
      </c>
      <c r="M11" s="10">
        <v>189</v>
      </c>
      <c r="N11" s="10">
        <v>189</v>
      </c>
      <c r="O11" s="10">
        <v>189</v>
      </c>
      <c r="P11" s="10">
        <v>189</v>
      </c>
      <c r="Q11" s="157">
        <f>J11/H11-1</f>
        <v>-0.89841269841269844</v>
      </c>
      <c r="R11" s="157">
        <f t="shared" si="6"/>
        <v>0</v>
      </c>
      <c r="S11" s="157">
        <f t="shared" ref="S11:U14" si="7">L11/$H11-1</f>
        <v>0</v>
      </c>
      <c r="T11" s="157">
        <f t="shared" si="7"/>
        <v>0</v>
      </c>
      <c r="U11" s="157">
        <f t="shared" si="7"/>
        <v>0</v>
      </c>
    </row>
    <row r="12" spans="2:22" s="158" customFormat="1" ht="48" customHeight="1" collapsed="1" x14ac:dyDescent="0.25">
      <c r="B12" s="196" t="s">
        <v>13</v>
      </c>
      <c r="C12" s="199" t="s">
        <v>14</v>
      </c>
      <c r="D12" s="8" t="s">
        <v>15</v>
      </c>
      <c r="E12" s="7" t="s">
        <v>16</v>
      </c>
      <c r="F12" s="135">
        <f t="shared" ref="F12:N12" si="8">F14/F15</f>
        <v>0.78118490125822848</v>
      </c>
      <c r="G12" s="135">
        <f t="shared" si="8"/>
        <v>0.74810635578691442</v>
      </c>
      <c r="H12" s="136">
        <f t="shared" si="8"/>
        <v>0.65459306131355011</v>
      </c>
      <c r="I12" s="136">
        <f t="shared" si="8"/>
        <v>0.99684168969601272</v>
      </c>
      <c r="J12" s="145">
        <f>J14/J15</f>
        <v>0.62895645641273534</v>
      </c>
      <c r="K12" s="145">
        <f t="shared" si="8"/>
        <v>0.56295485296201608</v>
      </c>
      <c r="L12" s="145">
        <f t="shared" si="8"/>
        <v>0.55071412429807687</v>
      </c>
      <c r="M12" s="145">
        <f t="shared" si="8"/>
        <v>0.54723279471788255</v>
      </c>
      <c r="N12" s="145">
        <f t="shared" si="8"/>
        <v>0.53998294398701052</v>
      </c>
      <c r="O12" s="145">
        <f t="shared" ref="O12:P12" si="9">O14/O15</f>
        <v>0.53998294398701052</v>
      </c>
      <c r="P12" s="145">
        <f t="shared" si="9"/>
        <v>0.53998294398701052</v>
      </c>
      <c r="Q12" s="157">
        <f t="shared" ref="Q12:Q18" si="10">J12/H12-1</f>
        <v>-3.9164186753477992E-2</v>
      </c>
      <c r="R12" s="157">
        <f t="shared" si="6"/>
        <v>-0.13999263629169345</v>
      </c>
      <c r="S12" s="157">
        <f t="shared" si="7"/>
        <v>-0.15869238944730457</v>
      </c>
      <c r="T12" s="157">
        <f t="shared" si="7"/>
        <v>-0.16401070060264811</v>
      </c>
      <c r="U12" s="157">
        <f t="shared" si="7"/>
        <v>-0.17508605590251025</v>
      </c>
    </row>
    <row r="13" spans="2:22" s="158" customFormat="1" ht="48" hidden="1" customHeight="1" x14ac:dyDescent="0.25">
      <c r="B13" s="197"/>
      <c r="C13" s="200"/>
      <c r="D13" s="8" t="s">
        <v>33</v>
      </c>
      <c r="E13" s="7" t="s">
        <v>16</v>
      </c>
      <c r="F13" s="129"/>
      <c r="G13" s="129"/>
      <c r="H13" s="130" t="e">
        <f>#REF!/#REF!</f>
        <v>#REF!</v>
      </c>
      <c r="I13" s="135"/>
      <c r="J13" s="159" t="e">
        <f>#REF!/#REF!</f>
        <v>#REF!</v>
      </c>
      <c r="K13" s="159" t="e">
        <f>#REF!/#REF!</f>
        <v>#REF!</v>
      </c>
      <c r="L13" s="159" t="e">
        <f>#REF!/#REF!</f>
        <v>#REF!</v>
      </c>
      <c r="M13" s="159" t="e">
        <f>#REF!/#REF!</f>
        <v>#REF!</v>
      </c>
      <c r="N13" s="159" t="e">
        <f>#REF!/#REF!</f>
        <v>#REF!</v>
      </c>
      <c r="O13" s="159" t="e">
        <f>#REF!/#REF!</f>
        <v>#REF!</v>
      </c>
      <c r="P13" s="159" t="e">
        <f>#REF!/#REF!</f>
        <v>#REF!</v>
      </c>
      <c r="Q13" s="157" t="e">
        <f t="shared" si="10"/>
        <v>#REF!</v>
      </c>
      <c r="R13" s="157" t="e">
        <f t="shared" si="6"/>
        <v>#REF!</v>
      </c>
      <c r="S13" s="157" t="e">
        <f t="shared" si="7"/>
        <v>#REF!</v>
      </c>
      <c r="T13" s="157" t="e">
        <f t="shared" si="7"/>
        <v>#REF!</v>
      </c>
      <c r="U13" s="157" t="e">
        <f t="shared" si="7"/>
        <v>#REF!</v>
      </c>
    </row>
    <row r="14" spans="2:22" s="158" customFormat="1" ht="72.75" hidden="1" customHeight="1" outlineLevel="1" x14ac:dyDescent="0.25">
      <c r="B14" s="197"/>
      <c r="C14" s="200"/>
      <c r="D14" s="6" t="s">
        <v>17</v>
      </c>
      <c r="E14" s="10" t="s">
        <v>10</v>
      </c>
      <c r="F14" s="143">
        <v>75</v>
      </c>
      <c r="G14" s="143">
        <v>72</v>
      </c>
      <c r="H14" s="143">
        <v>63</v>
      </c>
      <c r="I14" s="160">
        <f>78+23</f>
        <v>101</v>
      </c>
      <c r="J14" s="143">
        <f>(36+18+0)/10*12</f>
        <v>64.800000000000011</v>
      </c>
      <c r="K14" s="143">
        <v>58</v>
      </c>
      <c r="L14" s="143">
        <v>58</v>
      </c>
      <c r="M14" s="143">
        <v>58</v>
      </c>
      <c r="N14" s="143">
        <v>58</v>
      </c>
      <c r="O14" s="143">
        <v>58</v>
      </c>
      <c r="P14" s="143">
        <v>58</v>
      </c>
      <c r="Q14" s="157">
        <f t="shared" si="10"/>
        <v>2.8571428571428692E-2</v>
      </c>
      <c r="R14" s="157">
        <f t="shared" si="6"/>
        <v>-7.9365079365079416E-2</v>
      </c>
      <c r="S14" s="157">
        <f t="shared" si="7"/>
        <v>-7.9365079365079416E-2</v>
      </c>
      <c r="T14" s="157">
        <f t="shared" si="7"/>
        <v>-7.9365079365079416E-2</v>
      </c>
      <c r="U14" s="157">
        <f t="shared" si="7"/>
        <v>-7.9365079365079416E-2</v>
      </c>
    </row>
    <row r="15" spans="2:22" s="158" customFormat="1" ht="24" hidden="1" customHeight="1" outlineLevel="1" x14ac:dyDescent="0.25">
      <c r="B15" s="197"/>
      <c r="C15" s="200"/>
      <c r="D15" s="150" t="s">
        <v>18</v>
      </c>
      <c r="E15" s="151" t="s">
        <v>19</v>
      </c>
      <c r="F15" s="152">
        <v>96.007999999999996</v>
      </c>
      <c r="G15" s="152">
        <v>96.242999999999995</v>
      </c>
      <c r="H15" s="152">
        <v>96.242999999999995</v>
      </c>
      <c r="I15" s="153">
        <v>101.32</v>
      </c>
      <c r="J15" s="153">
        <v>103.0278</v>
      </c>
      <c r="K15" s="153">
        <f>J15</f>
        <v>103.0278</v>
      </c>
      <c r="L15" s="153">
        <f>K15+SUM(L25:L30)</f>
        <v>105.31780000000001</v>
      </c>
      <c r="M15" s="153">
        <f>L15+SUM(M25:M30)</f>
        <v>105.98780000000001</v>
      </c>
      <c r="N15" s="153">
        <f>M15+SUM(N25:N30)</f>
        <v>107.41080000000001</v>
      </c>
      <c r="O15" s="153">
        <f>N15+SUM(O25:O30)</f>
        <v>107.41080000000001</v>
      </c>
      <c r="P15" s="153">
        <f>O15+SUM(P25:P30)</f>
        <v>107.41080000000001</v>
      </c>
      <c r="Q15" s="127">
        <f>N15</f>
        <v>107.41080000000001</v>
      </c>
      <c r="R15" s="127">
        <f t="shared" ref="R15:U15" si="11">Q15</f>
        <v>107.41080000000001</v>
      </c>
      <c r="S15" s="127">
        <f t="shared" si="11"/>
        <v>107.41080000000001</v>
      </c>
      <c r="T15" s="127">
        <f t="shared" si="11"/>
        <v>107.41080000000001</v>
      </c>
      <c r="U15" s="127">
        <f t="shared" si="11"/>
        <v>107.41080000000001</v>
      </c>
    </row>
    <row r="16" spans="2:22" s="158" customFormat="1" ht="43.5" customHeight="1" collapsed="1" x14ac:dyDescent="0.25">
      <c r="B16" s="196" t="s">
        <v>20</v>
      </c>
      <c r="C16" s="225" t="s">
        <v>21</v>
      </c>
      <c r="D16" s="8" t="s">
        <v>22</v>
      </c>
      <c r="E16" s="7" t="s">
        <v>8</v>
      </c>
      <c r="F16" s="175"/>
      <c r="G16" s="176"/>
      <c r="H16" s="136">
        <f t="shared" ref="H16:I16" si="12">H18/H17*100</f>
        <v>9.6231376358146239</v>
      </c>
      <c r="I16" s="136">
        <f t="shared" si="12"/>
        <v>12.409603046859061</v>
      </c>
      <c r="J16" s="174">
        <f>J18/J17*100</f>
        <v>12.073457879886272</v>
      </c>
      <c r="K16" s="174">
        <f t="shared" ref="K16:N16" si="13">K18/K17*100</f>
        <v>9.5879503404365742</v>
      </c>
      <c r="L16" s="174">
        <f t="shared" si="13"/>
        <v>9.5879503404365742</v>
      </c>
      <c r="M16" s="174">
        <f t="shared" si="13"/>
        <v>9.5879503404365742</v>
      </c>
      <c r="N16" s="174">
        <f t="shared" si="13"/>
        <v>9.5879503404365742</v>
      </c>
      <c r="O16" s="174">
        <f t="shared" ref="O16:P16" si="14">O18/O17*100</f>
        <v>9.5879503404365742</v>
      </c>
      <c r="P16" s="174">
        <f t="shared" si="14"/>
        <v>9.5879503404365742</v>
      </c>
      <c r="Q16" s="161">
        <f t="shared" si="10"/>
        <v>0.25462799523434465</v>
      </c>
      <c r="R16" s="157">
        <f t="shared" si="6"/>
        <v>-3.6565304072023741E-3</v>
      </c>
      <c r="S16" s="157">
        <f t="shared" ref="S16:U18" si="15">L16/$H16-1</f>
        <v>-3.6565304072023741E-3</v>
      </c>
      <c r="T16" s="157">
        <f t="shared" si="15"/>
        <v>-3.6565304072023741E-3</v>
      </c>
      <c r="U16" s="157">
        <f t="shared" si="15"/>
        <v>-3.6565304072023741E-3</v>
      </c>
      <c r="V16" s="158" t="s">
        <v>185</v>
      </c>
    </row>
    <row r="17" spans="2:22" s="158" customFormat="1" ht="25.5" hidden="1" customHeight="1" outlineLevel="1" x14ac:dyDescent="0.25">
      <c r="B17" s="197"/>
      <c r="C17" s="225"/>
      <c r="D17" s="177" t="s">
        <v>186</v>
      </c>
      <c r="E17" s="129" t="s">
        <v>23</v>
      </c>
      <c r="F17" s="129"/>
      <c r="G17" s="129"/>
      <c r="H17" s="130">
        <v>2613.9490000000001</v>
      </c>
      <c r="I17" s="130">
        <v>3087.77</v>
      </c>
      <c r="J17" s="130">
        <f>2749.494/10*12</f>
        <v>3299.3928000000005</v>
      </c>
      <c r="K17" s="130">
        <f>[4]Баланс!$J$5</f>
        <v>2623.5429999999997</v>
      </c>
      <c r="L17" s="130">
        <f>[4]Баланс!$J$5</f>
        <v>2623.5429999999997</v>
      </c>
      <c r="M17" s="130">
        <f>[4]Баланс!$J$5</f>
        <v>2623.5429999999997</v>
      </c>
      <c r="N17" s="130">
        <f>[4]Баланс!$J$5</f>
        <v>2623.5429999999997</v>
      </c>
      <c r="O17" s="130">
        <f>[4]Баланс!$J$5</f>
        <v>2623.5429999999997</v>
      </c>
      <c r="P17" s="130">
        <f>[4]Баланс!$J$5</f>
        <v>2623.5429999999997</v>
      </c>
      <c r="Q17" s="161">
        <f t="shared" si="10"/>
        <v>0.26222539154359947</v>
      </c>
      <c r="R17" s="157">
        <f t="shared" si="6"/>
        <v>3.67030879332364E-3</v>
      </c>
      <c r="S17" s="157">
        <f t="shared" si="15"/>
        <v>3.67030879332364E-3</v>
      </c>
      <c r="T17" s="157">
        <f t="shared" si="15"/>
        <v>3.67030879332364E-3</v>
      </c>
      <c r="U17" s="157">
        <f t="shared" si="15"/>
        <v>3.67030879332364E-3</v>
      </c>
    </row>
    <row r="18" spans="2:22" s="158" customFormat="1" ht="30" hidden="1" customHeight="1" outlineLevel="1" x14ac:dyDescent="0.25">
      <c r="B18" s="197"/>
      <c r="C18" s="225"/>
      <c r="D18" s="177" t="s">
        <v>24</v>
      </c>
      <c r="E18" s="129" t="s">
        <v>23</v>
      </c>
      <c r="F18" s="139"/>
      <c r="G18" s="139"/>
      <c r="H18" s="130">
        <v>251.54391000000001</v>
      </c>
      <c r="I18" s="130">
        <v>383.18</v>
      </c>
      <c r="J18" s="136">
        <f>(2749.494-196.276-2221.259)/10*12</f>
        <v>398.35080000000039</v>
      </c>
      <c r="K18" s="136">
        <f>[4]Баланс!$J$15</f>
        <v>251.54399999999987</v>
      </c>
      <c r="L18" s="136">
        <f>[4]Баланс!$J$15</f>
        <v>251.54399999999987</v>
      </c>
      <c r="M18" s="136">
        <f>[4]Баланс!$J$15</f>
        <v>251.54399999999987</v>
      </c>
      <c r="N18" s="136">
        <f>[4]Баланс!$J$15</f>
        <v>251.54399999999987</v>
      </c>
      <c r="O18" s="136">
        <f>[4]Баланс!$J$15</f>
        <v>251.54399999999987</v>
      </c>
      <c r="P18" s="136">
        <f>[4]Баланс!$J$15</f>
        <v>251.54399999999987</v>
      </c>
      <c r="Q18" s="161">
        <f t="shared" si="10"/>
        <v>0.58362331252623201</v>
      </c>
      <c r="R18" s="157">
        <f t="shared" si="6"/>
        <v>3.5779041462902228E-7</v>
      </c>
      <c r="S18" s="157">
        <f t="shared" si="15"/>
        <v>3.5779041462902228E-7</v>
      </c>
      <c r="T18" s="157">
        <f t="shared" si="15"/>
        <v>3.5779041462902228E-7</v>
      </c>
      <c r="U18" s="157">
        <f t="shared" si="15"/>
        <v>3.5779041462902228E-7</v>
      </c>
    </row>
    <row r="19" spans="2:22" s="158" customFormat="1" ht="30" hidden="1" customHeight="1" outlineLevel="1" x14ac:dyDescent="0.25">
      <c r="B19" s="197"/>
      <c r="C19" s="225"/>
      <c r="D19" s="178" t="s">
        <v>146</v>
      </c>
      <c r="E19" s="162" t="s">
        <v>147</v>
      </c>
      <c r="F19" s="179"/>
      <c r="G19" s="179"/>
      <c r="H19" s="130">
        <v>2553.6</v>
      </c>
      <c r="I19" s="135">
        <v>2710.2</v>
      </c>
      <c r="J19" s="141">
        <f>[4]НВВ!$P$136</f>
        <v>3000</v>
      </c>
      <c r="K19" s="141">
        <f>J19</f>
        <v>3000</v>
      </c>
      <c r="L19" s="141">
        <f t="shared" ref="L19:N19" si="16">K19</f>
        <v>3000</v>
      </c>
      <c r="M19" s="141">
        <f t="shared" si="16"/>
        <v>3000</v>
      </c>
      <c r="N19" s="141">
        <f t="shared" si="16"/>
        <v>3000</v>
      </c>
      <c r="O19" s="141">
        <f t="shared" ref="O19:O20" si="17">N19</f>
        <v>3000</v>
      </c>
      <c r="P19" s="141">
        <f t="shared" ref="P19:P20" si="18">O19</f>
        <v>3000</v>
      </c>
      <c r="Q19" s="161"/>
      <c r="R19" s="157"/>
      <c r="S19" s="157"/>
      <c r="T19" s="157"/>
      <c r="U19" s="157"/>
    </row>
    <row r="20" spans="2:22" s="158" customFormat="1" ht="30" hidden="1" customHeight="1" outlineLevel="1" x14ac:dyDescent="0.25">
      <c r="B20" s="197"/>
      <c r="C20" s="225"/>
      <c r="D20" s="178" t="s">
        <v>148</v>
      </c>
      <c r="E20" s="162" t="s">
        <v>149</v>
      </c>
      <c r="F20" s="140"/>
      <c r="G20" s="140"/>
      <c r="H20" s="130">
        <f>H17</f>
        <v>2613.9490000000001</v>
      </c>
      <c r="I20" s="135">
        <v>3087.77</v>
      </c>
      <c r="J20" s="141">
        <f>[4]Баланс!$J$5</f>
        <v>2623.5429999999997</v>
      </c>
      <c r="K20" s="141">
        <f>J20</f>
        <v>2623.5429999999997</v>
      </c>
      <c r="L20" s="141">
        <f t="shared" ref="L20:N20" si="19">K20</f>
        <v>2623.5429999999997</v>
      </c>
      <c r="M20" s="141">
        <f t="shared" si="19"/>
        <v>2623.5429999999997</v>
      </c>
      <c r="N20" s="141">
        <f t="shared" si="19"/>
        <v>2623.5429999999997</v>
      </c>
      <c r="O20" s="141">
        <f t="shared" si="17"/>
        <v>2623.5429999999997</v>
      </c>
      <c r="P20" s="141">
        <f t="shared" si="18"/>
        <v>2623.5429999999997</v>
      </c>
      <c r="Q20" s="161"/>
      <c r="R20" s="157"/>
      <c r="S20" s="157"/>
      <c r="T20" s="157"/>
      <c r="U20" s="157"/>
    </row>
    <row r="21" spans="2:22" s="158" customFormat="1" ht="47.25" collapsed="1" x14ac:dyDescent="0.25">
      <c r="B21" s="198"/>
      <c r="C21" s="225"/>
      <c r="D21" s="8" t="s">
        <v>150</v>
      </c>
      <c r="E21" s="7" t="s">
        <v>156</v>
      </c>
      <c r="F21" s="135"/>
      <c r="G21" s="135"/>
      <c r="H21" s="135">
        <f>H19/H20</f>
        <v>0.97691270946755271</v>
      </c>
      <c r="I21" s="135">
        <f>I19/I20</f>
        <v>0.87772081469798591</v>
      </c>
      <c r="J21" s="159">
        <f>J19/J20</f>
        <v>1.1434918352777144</v>
      </c>
      <c r="K21" s="159">
        <f>K19/K20</f>
        <v>1.1434918352777144</v>
      </c>
      <c r="L21" s="159">
        <f t="shared" ref="L21:N21" si="20">L19/L20</f>
        <v>1.1434918352777144</v>
      </c>
      <c r="M21" s="159">
        <f t="shared" si="20"/>
        <v>1.1434918352777144</v>
      </c>
      <c r="N21" s="159">
        <f t="shared" si="20"/>
        <v>1.1434918352777144</v>
      </c>
      <c r="O21" s="159">
        <f t="shared" ref="O21:P21" si="21">O19/O20</f>
        <v>1.1434918352777144</v>
      </c>
      <c r="P21" s="159">
        <f t="shared" si="21"/>
        <v>1.1434918352777144</v>
      </c>
      <c r="Q21" s="161">
        <f>J21/H21-1</f>
        <v>0.17051587536511059</v>
      </c>
      <c r="R21" s="157">
        <f>K21/$H21-1</f>
        <v>0.17051587536511059</v>
      </c>
      <c r="S21" s="157">
        <f>L21/$H21-1</f>
        <v>0.17051587536511059</v>
      </c>
      <c r="T21" s="157">
        <f>M21/$H21-1</f>
        <v>0.17051587536511059</v>
      </c>
      <c r="U21" s="157">
        <f>N21/$H21-1</f>
        <v>0.17051587536511059</v>
      </c>
      <c r="V21" s="158" t="s">
        <v>185</v>
      </c>
    </row>
    <row r="22" spans="2:22" s="158" customFormat="1" x14ac:dyDescent="0.25"/>
    <row r="23" spans="2:22" s="158" customFormat="1" hidden="1" x14ac:dyDescent="0.25"/>
    <row r="24" spans="2:22" s="158" customFormat="1" hidden="1" x14ac:dyDescent="0.25">
      <c r="D24" s="163"/>
    </row>
    <row r="25" spans="2:22" s="158" customFormat="1" hidden="1" outlineLevel="1" x14ac:dyDescent="0.25">
      <c r="D25" s="164" t="s">
        <v>175</v>
      </c>
      <c r="E25" s="155">
        <f>670/1000</f>
        <v>0.67</v>
      </c>
      <c r="F25" s="155" t="s">
        <v>173</v>
      </c>
      <c r="G25" s="155"/>
      <c r="H25" s="155"/>
      <c r="I25" s="165"/>
      <c r="J25" s="165"/>
      <c r="K25" s="165"/>
      <c r="L25" s="165"/>
      <c r="M25" s="165">
        <f>E25</f>
        <v>0.67</v>
      </c>
      <c r="N25" s="155"/>
      <c r="O25" s="155"/>
      <c r="P25" s="155"/>
      <c r="Q25" s="155"/>
      <c r="R25" s="155"/>
      <c r="S25" s="155"/>
      <c r="T25" s="155"/>
      <c r="U25" s="155"/>
    </row>
    <row r="26" spans="2:22" s="158" customFormat="1" ht="22.5" hidden="1" outlineLevel="1" x14ac:dyDescent="0.25">
      <c r="D26" s="164" t="s">
        <v>176</v>
      </c>
      <c r="E26" s="155">
        <f>1240/1000</f>
        <v>1.24</v>
      </c>
      <c r="F26" s="155" t="s">
        <v>180</v>
      </c>
      <c r="G26" s="155"/>
      <c r="H26" s="155"/>
      <c r="I26" s="165"/>
      <c r="J26" s="165"/>
      <c r="K26" s="165"/>
      <c r="L26" s="165">
        <f>E26</f>
        <v>1.24</v>
      </c>
      <c r="M26" s="165"/>
      <c r="N26" s="155"/>
      <c r="O26" s="155"/>
      <c r="P26" s="155"/>
      <c r="Q26" s="155"/>
      <c r="R26" s="155"/>
      <c r="S26" s="155"/>
      <c r="T26" s="155"/>
      <c r="U26" s="155"/>
    </row>
    <row r="27" spans="2:22" s="158" customFormat="1" hidden="1" outlineLevel="1" x14ac:dyDescent="0.25">
      <c r="D27" s="164" t="s">
        <v>177</v>
      </c>
      <c r="E27" s="155">
        <f>500/1000</f>
        <v>0.5</v>
      </c>
      <c r="F27" s="155" t="s">
        <v>172</v>
      </c>
      <c r="G27" s="155"/>
      <c r="H27" s="155"/>
      <c r="I27" s="165"/>
      <c r="J27" s="165"/>
      <c r="K27" s="165"/>
      <c r="L27" s="165"/>
      <c r="M27" s="165"/>
      <c r="N27" s="155">
        <f>E27</f>
        <v>0.5</v>
      </c>
      <c r="O27" s="155"/>
      <c r="P27" s="155"/>
      <c r="Q27" s="155"/>
      <c r="R27" s="155"/>
      <c r="S27" s="155"/>
      <c r="T27" s="155"/>
      <c r="U27" s="155"/>
    </row>
    <row r="28" spans="2:22" s="158" customFormat="1" hidden="1" outlineLevel="1" x14ac:dyDescent="0.25">
      <c r="D28" s="164" t="s">
        <v>178</v>
      </c>
      <c r="E28" s="155">
        <f>518/1000</f>
        <v>0.51800000000000002</v>
      </c>
      <c r="F28" s="155" t="s">
        <v>174</v>
      </c>
      <c r="G28" s="155"/>
      <c r="H28" s="155"/>
      <c r="I28" s="165"/>
      <c r="J28" s="165"/>
      <c r="K28" s="165"/>
      <c r="L28" s="165"/>
      <c r="M28" s="165"/>
      <c r="N28" s="155">
        <f>E28</f>
        <v>0.51800000000000002</v>
      </c>
      <c r="O28" s="155"/>
      <c r="P28" s="155"/>
      <c r="Q28" s="155"/>
      <c r="R28" s="155"/>
      <c r="S28" s="155"/>
      <c r="T28" s="155"/>
      <c r="U28" s="155"/>
    </row>
    <row r="29" spans="2:22" s="158" customFormat="1" hidden="1" outlineLevel="1" x14ac:dyDescent="0.25">
      <c r="D29" s="166" t="s">
        <v>179</v>
      </c>
      <c r="E29" s="155">
        <f>405/1000</f>
        <v>0.40500000000000003</v>
      </c>
      <c r="F29" s="155" t="s">
        <v>172</v>
      </c>
      <c r="G29" s="155"/>
      <c r="H29" s="155"/>
      <c r="I29" s="165"/>
      <c r="J29" s="165"/>
      <c r="K29" s="165"/>
      <c r="L29" s="165"/>
      <c r="M29" s="165"/>
      <c r="N29" s="155">
        <f>E29</f>
        <v>0.40500000000000003</v>
      </c>
      <c r="O29" s="155"/>
      <c r="P29" s="155"/>
      <c r="Q29" s="155"/>
      <c r="R29" s="155"/>
      <c r="S29" s="155"/>
      <c r="T29" s="155"/>
      <c r="U29" s="155"/>
    </row>
    <row r="30" spans="2:22" s="158" customFormat="1" hidden="1" outlineLevel="1" x14ac:dyDescent="0.25">
      <c r="D30" s="154" t="s">
        <v>184</v>
      </c>
      <c r="E30" s="155"/>
      <c r="F30" s="155"/>
      <c r="G30" s="155"/>
      <c r="H30" s="155"/>
      <c r="I30" s="155"/>
      <c r="J30" s="155"/>
      <c r="K30" s="155"/>
      <c r="L30" s="156">
        <v>1.05</v>
      </c>
      <c r="M30" s="155"/>
      <c r="N30" s="155"/>
      <c r="O30" s="193"/>
      <c r="P30" s="193"/>
    </row>
    <row r="31" spans="2:22" s="158" customFormat="1" hidden="1" collapsed="1" x14ac:dyDescent="0.25"/>
    <row r="32" spans="2:22" s="158" customFormat="1" hidden="1" x14ac:dyDescent="0.25"/>
    <row r="33" spans="2:22" s="158" customFormat="1" hidden="1" x14ac:dyDescent="0.25"/>
    <row r="34" spans="2:22" s="158" customFormat="1" hidden="1" x14ac:dyDescent="0.25"/>
    <row r="35" spans="2:22" s="158" customFormat="1" hidden="1" x14ac:dyDescent="0.25"/>
    <row r="36" spans="2:22" s="158" customFormat="1" hidden="1" x14ac:dyDescent="0.25"/>
    <row r="37" spans="2:22" s="158" customFormat="1" hidden="1" x14ac:dyDescent="0.25"/>
    <row r="38" spans="2:22" s="158" customFormat="1" x14ac:dyDescent="0.25">
      <c r="C38" s="167" t="s">
        <v>158</v>
      </c>
      <c r="T38" s="158" t="s">
        <v>145</v>
      </c>
    </row>
    <row r="39" spans="2:22" s="158" customFormat="1" ht="15" customHeight="1" x14ac:dyDescent="0.25">
      <c r="B39" s="203" t="s">
        <v>0</v>
      </c>
      <c r="C39" s="205" t="s">
        <v>1</v>
      </c>
      <c r="D39" s="205" t="s">
        <v>1</v>
      </c>
      <c r="E39" s="207" t="s">
        <v>3</v>
      </c>
      <c r="F39" s="213" t="s">
        <v>25</v>
      </c>
      <c r="G39" s="214"/>
      <c r="H39" s="215"/>
      <c r="I39" s="181" t="s">
        <v>183</v>
      </c>
      <c r="J39" s="182" t="s">
        <v>181</v>
      </c>
      <c r="K39" s="219" t="s">
        <v>2</v>
      </c>
      <c r="L39" s="220"/>
      <c r="M39" s="220"/>
      <c r="N39" s="220"/>
      <c r="O39" s="220"/>
      <c r="P39" s="221"/>
      <c r="Q39" s="216" t="s">
        <v>26</v>
      </c>
      <c r="R39" s="217"/>
      <c r="S39" s="217"/>
      <c r="T39" s="217"/>
      <c r="U39" s="218"/>
    </row>
    <row r="40" spans="2:22" s="158" customFormat="1" x14ac:dyDescent="0.25">
      <c r="B40" s="204"/>
      <c r="C40" s="206"/>
      <c r="D40" s="206"/>
      <c r="E40" s="208"/>
      <c r="F40" s="183" t="s">
        <v>160</v>
      </c>
      <c r="G40" s="183" t="s">
        <v>161</v>
      </c>
      <c r="H40" s="184" t="s">
        <v>4</v>
      </c>
      <c r="I40" s="185" t="s">
        <v>182</v>
      </c>
      <c r="J40" s="186" t="s">
        <v>27</v>
      </c>
      <c r="K40" s="186" t="s">
        <v>28</v>
      </c>
      <c r="L40" s="186" t="s">
        <v>29</v>
      </c>
      <c r="M40" s="186" t="s">
        <v>30</v>
      </c>
      <c r="N40" s="186" t="s">
        <v>31</v>
      </c>
      <c r="O40" s="186" t="s">
        <v>187</v>
      </c>
      <c r="P40" s="186" t="s">
        <v>188</v>
      </c>
      <c r="Q40" s="168" t="s">
        <v>27</v>
      </c>
      <c r="R40" s="168" t="s">
        <v>28</v>
      </c>
      <c r="S40" s="168" t="s">
        <v>29</v>
      </c>
      <c r="T40" s="168" t="s">
        <v>30</v>
      </c>
      <c r="U40" s="168" t="s">
        <v>31</v>
      </c>
    </row>
    <row r="41" spans="2:22" s="158" customFormat="1" ht="66.75" customHeight="1" x14ac:dyDescent="0.25">
      <c r="B41" s="196" t="s">
        <v>5</v>
      </c>
      <c r="C41" s="199" t="s">
        <v>151</v>
      </c>
      <c r="D41" s="8" t="s">
        <v>33</v>
      </c>
      <c r="E41" s="7" t="s">
        <v>16</v>
      </c>
      <c r="F41" s="139">
        <f t="shared" ref="F41:N41" si="22">F42/F43</f>
        <v>12.829278101749448</v>
      </c>
      <c r="G41" s="139">
        <f t="shared" si="22"/>
        <v>12.63058785820888</v>
      </c>
      <c r="H41" s="139">
        <f t="shared" si="22"/>
        <v>12.300049080000401</v>
      </c>
      <c r="I41" s="139">
        <f>I42/I43</f>
        <v>11.876417005616927</v>
      </c>
      <c r="J41" s="145">
        <f>J42/J43</f>
        <v>8.5133609200957405</v>
      </c>
      <c r="K41" s="145">
        <f t="shared" si="22"/>
        <v>8.5133609200957405</v>
      </c>
      <c r="L41" s="145">
        <f t="shared" si="22"/>
        <v>8.5133609200957405</v>
      </c>
      <c r="M41" s="145">
        <f t="shared" si="22"/>
        <v>8.385886809848607</v>
      </c>
      <c r="N41" s="145">
        <f t="shared" si="22"/>
        <v>7.7185458674997189</v>
      </c>
      <c r="O41" s="145">
        <f t="shared" ref="O41:P41" si="23">O42/O43</f>
        <v>7.7185458674997189</v>
      </c>
      <c r="P41" s="145">
        <f t="shared" si="23"/>
        <v>7.7185458674997189</v>
      </c>
      <c r="Q41" s="157">
        <f>J41/H41-1</f>
        <v>-0.30785959757361692</v>
      </c>
      <c r="R41" s="157">
        <f>K41/$H41-1</f>
        <v>-0.30785959757361692</v>
      </c>
      <c r="S41" s="157">
        <f>L41/$H41-1</f>
        <v>-0.30785959757361692</v>
      </c>
      <c r="T41" s="157">
        <f>M41/$H41-1</f>
        <v>-0.31822330502047602</v>
      </c>
      <c r="U41" s="157">
        <f>N41/$H41-1</f>
        <v>-0.37247844969579036</v>
      </c>
    </row>
    <row r="42" spans="2:22" s="158" customFormat="1" ht="30" hidden="1" outlineLevel="1" x14ac:dyDescent="0.25">
      <c r="B42" s="197"/>
      <c r="C42" s="200"/>
      <c r="D42" s="6" t="s">
        <v>32</v>
      </c>
      <c r="E42" s="10" t="s">
        <v>10</v>
      </c>
      <c r="F42" s="144">
        <v>1276</v>
      </c>
      <c r="G42" s="144">
        <v>1261</v>
      </c>
      <c r="H42" s="144">
        <v>1228</v>
      </c>
      <c r="I42" s="144">
        <v>1211</v>
      </c>
      <c r="J42" s="144">
        <f>723.4/10*12</f>
        <v>868.08</v>
      </c>
      <c r="K42" s="144">
        <f>J42</f>
        <v>868.08</v>
      </c>
      <c r="L42" s="144">
        <f t="shared" ref="L42:P42" si="24">K42</f>
        <v>868.08</v>
      </c>
      <c r="M42" s="144">
        <f>L42</f>
        <v>868.08</v>
      </c>
      <c r="N42" s="144">
        <f t="shared" si="24"/>
        <v>868.08</v>
      </c>
      <c r="O42" s="144">
        <f t="shared" si="24"/>
        <v>868.08</v>
      </c>
      <c r="P42" s="144">
        <f t="shared" si="24"/>
        <v>868.08</v>
      </c>
      <c r="Q42" s="157">
        <f t="shared" ref="Q42:U43" si="25">IFERROR(J42/$H$6-1,)</f>
        <v>0</v>
      </c>
      <c r="R42" s="157">
        <f t="shared" si="25"/>
        <v>0</v>
      </c>
      <c r="S42" s="157">
        <f t="shared" si="25"/>
        <v>0</v>
      </c>
      <c r="T42" s="157">
        <f t="shared" si="25"/>
        <v>0</v>
      </c>
      <c r="U42" s="157">
        <f t="shared" si="25"/>
        <v>0</v>
      </c>
    </row>
    <row r="43" spans="2:22" s="158" customFormat="1" ht="26.25" hidden="1" customHeight="1" outlineLevel="1" x14ac:dyDescent="0.25">
      <c r="B43" s="198"/>
      <c r="C43" s="201"/>
      <c r="D43" s="9" t="s">
        <v>34</v>
      </c>
      <c r="E43" s="10" t="s">
        <v>19</v>
      </c>
      <c r="F43" s="138">
        <v>99.46</v>
      </c>
      <c r="G43" s="138">
        <v>99.837000000000003</v>
      </c>
      <c r="H43" s="138">
        <v>99.837000000000003</v>
      </c>
      <c r="I43" s="127">
        <v>101.96678</v>
      </c>
      <c r="J43" s="127">
        <v>101.96678</v>
      </c>
      <c r="K43" s="127">
        <f>J43</f>
        <v>101.96678</v>
      </c>
      <c r="L43" s="127">
        <f>K43</f>
        <v>101.96678</v>
      </c>
      <c r="M43" s="127">
        <f>L43+M60</f>
        <v>103.51678</v>
      </c>
      <c r="N43" s="127">
        <f>M43+N60</f>
        <v>112.46678</v>
      </c>
      <c r="O43" s="127">
        <f>N43+O60</f>
        <v>112.46678</v>
      </c>
      <c r="P43" s="127">
        <f>O43+P60</f>
        <v>112.46678</v>
      </c>
      <c r="Q43" s="157">
        <f t="shared" si="25"/>
        <v>0</v>
      </c>
      <c r="R43" s="157">
        <f t="shared" si="25"/>
        <v>0</v>
      </c>
      <c r="S43" s="157">
        <f t="shared" si="25"/>
        <v>0</v>
      </c>
      <c r="T43" s="157">
        <f t="shared" si="25"/>
        <v>0</v>
      </c>
      <c r="U43" s="157">
        <f t="shared" si="25"/>
        <v>0</v>
      </c>
    </row>
    <row r="44" spans="2:22" s="158" customFormat="1" ht="40.5" customHeight="1" collapsed="1" x14ac:dyDescent="0.25">
      <c r="B44" s="202" t="s">
        <v>13</v>
      </c>
      <c r="C44" s="199" t="s">
        <v>21</v>
      </c>
      <c r="D44" s="8" t="s">
        <v>152</v>
      </c>
      <c r="E44" s="7" t="s">
        <v>8</v>
      </c>
      <c r="F44" s="129">
        <v>100</v>
      </c>
      <c r="G44" s="129">
        <v>100</v>
      </c>
      <c r="H44" s="129">
        <v>100</v>
      </c>
      <c r="I44" s="129">
        <v>100</v>
      </c>
      <c r="J44" s="7">
        <v>100</v>
      </c>
      <c r="K44" s="7">
        <v>100</v>
      </c>
      <c r="L44" s="7">
        <v>100</v>
      </c>
      <c r="M44" s="7">
        <v>100</v>
      </c>
      <c r="N44" s="7">
        <v>100</v>
      </c>
      <c r="O44" s="7">
        <v>100</v>
      </c>
      <c r="P44" s="7">
        <v>100</v>
      </c>
      <c r="Q44" s="157">
        <f>J44/H44-1</f>
        <v>0</v>
      </c>
      <c r="R44" s="157">
        <f>K44/$H44-1</f>
        <v>0</v>
      </c>
      <c r="S44" s="157">
        <f>L44/$H44-1</f>
        <v>0</v>
      </c>
      <c r="T44" s="157">
        <f>M44/$H44-1</f>
        <v>0</v>
      </c>
      <c r="U44" s="157">
        <f>N44/$H44-1</f>
        <v>0</v>
      </c>
    </row>
    <row r="45" spans="2:22" s="158" customFormat="1" ht="30" hidden="1" customHeight="1" outlineLevel="1" x14ac:dyDescent="0.25">
      <c r="B45" s="202"/>
      <c r="C45" s="200"/>
      <c r="D45" s="169" t="s">
        <v>146</v>
      </c>
      <c r="E45" s="7" t="s">
        <v>153</v>
      </c>
      <c r="F45" s="129"/>
      <c r="G45" s="129"/>
      <c r="H45" s="129">
        <f>2445.8+475</f>
        <v>2920.8</v>
      </c>
      <c r="I45" s="135">
        <v>1763</v>
      </c>
      <c r="J45" s="142">
        <f>[5]НВВ!$P$133+[5]НВВ!$P$136</f>
        <v>2930</v>
      </c>
      <c r="K45" s="142">
        <f>J45</f>
        <v>2930</v>
      </c>
      <c r="L45" s="142">
        <f t="shared" ref="L45:U45" si="26">K45</f>
        <v>2930</v>
      </c>
      <c r="M45" s="142">
        <f t="shared" si="26"/>
        <v>2930</v>
      </c>
      <c r="N45" s="142">
        <f t="shared" si="26"/>
        <v>2930</v>
      </c>
      <c r="O45" s="142">
        <f t="shared" si="26"/>
        <v>2930</v>
      </c>
      <c r="P45" s="142">
        <f t="shared" si="26"/>
        <v>2930</v>
      </c>
      <c r="Q45" s="142">
        <f>N45</f>
        <v>2930</v>
      </c>
      <c r="R45" s="142">
        <f t="shared" si="26"/>
        <v>2930</v>
      </c>
      <c r="S45" s="142">
        <f t="shared" si="26"/>
        <v>2930</v>
      </c>
      <c r="T45" s="142">
        <f t="shared" si="26"/>
        <v>2930</v>
      </c>
      <c r="U45" s="142">
        <f t="shared" si="26"/>
        <v>2930</v>
      </c>
    </row>
    <row r="46" spans="2:22" s="158" customFormat="1" ht="15.75" hidden="1" customHeight="1" outlineLevel="1" x14ac:dyDescent="0.25">
      <c r="B46" s="202"/>
      <c r="C46" s="200"/>
      <c r="D46" s="169" t="s">
        <v>154</v>
      </c>
      <c r="E46" s="7" t="s">
        <v>155</v>
      </c>
      <c r="F46" s="129"/>
      <c r="G46" s="129"/>
      <c r="H46" s="137">
        <v>2034.06</v>
      </c>
      <c r="I46" s="129">
        <v>2119.87</v>
      </c>
      <c r="J46" s="142">
        <v>2071.0971499999996</v>
      </c>
      <c r="K46" s="142">
        <v>2071.0971499999996</v>
      </c>
      <c r="L46" s="142">
        <v>2071.0971499999996</v>
      </c>
      <c r="M46" s="142">
        <v>2071.0971499999996</v>
      </c>
      <c r="N46" s="142">
        <v>2071.0971499999996</v>
      </c>
      <c r="O46" s="142">
        <f>N46</f>
        <v>2071.0971499999996</v>
      </c>
      <c r="P46" s="142">
        <f>O46</f>
        <v>2071.0971499999996</v>
      </c>
      <c r="Q46" s="157">
        <f t="shared" ref="Q46:U46" si="27">IFERROR(J46/$H$6-1,)</f>
        <v>0</v>
      </c>
      <c r="R46" s="157">
        <f t="shared" si="27"/>
        <v>0</v>
      </c>
      <c r="S46" s="157">
        <f t="shared" si="27"/>
        <v>0</v>
      </c>
      <c r="T46" s="157">
        <f t="shared" si="27"/>
        <v>0</v>
      </c>
      <c r="U46" s="157">
        <f t="shared" si="27"/>
        <v>0</v>
      </c>
    </row>
    <row r="47" spans="2:22" s="158" customFormat="1" ht="63" collapsed="1" x14ac:dyDescent="0.25">
      <c r="B47" s="202"/>
      <c r="C47" s="201"/>
      <c r="D47" s="8" t="s">
        <v>159</v>
      </c>
      <c r="E47" s="7" t="s">
        <v>156</v>
      </c>
      <c r="F47" s="170"/>
      <c r="G47" s="170"/>
      <c r="H47" s="171">
        <f t="shared" ref="H47:N47" si="28">H45/H46</f>
        <v>1.4359458423055369</v>
      </c>
      <c r="I47" s="171">
        <f t="shared" si="28"/>
        <v>0.8316547712831448</v>
      </c>
      <c r="J47" s="172">
        <f t="shared" si="28"/>
        <v>1.4147091071995346</v>
      </c>
      <c r="K47" s="172">
        <f t="shared" si="28"/>
        <v>1.4147091071995346</v>
      </c>
      <c r="L47" s="172">
        <f t="shared" si="28"/>
        <v>1.4147091071995346</v>
      </c>
      <c r="M47" s="172">
        <f t="shared" si="28"/>
        <v>1.4147091071995346</v>
      </c>
      <c r="N47" s="172">
        <f t="shared" si="28"/>
        <v>1.4147091071995346</v>
      </c>
      <c r="O47" s="172">
        <f>O45/O46</f>
        <v>1.4147091071995346</v>
      </c>
      <c r="P47" s="172">
        <f t="shared" ref="P47" si="29">P45/P46</f>
        <v>1.4147091071995346</v>
      </c>
      <c r="Q47" s="157">
        <f>J47/H47-1</f>
        <v>-1.4789370518253575E-2</v>
      </c>
      <c r="R47" s="157">
        <f>K47/$H47-1</f>
        <v>-1.4789370518253575E-2</v>
      </c>
      <c r="S47" s="157">
        <f>L47/$H47-1</f>
        <v>-1.4789370518253575E-2</v>
      </c>
      <c r="T47" s="157">
        <f>M47/$H47-1</f>
        <v>-1.4789370518253575E-2</v>
      </c>
      <c r="U47" s="157">
        <f>N47/$H47-1</f>
        <v>-1.4789370518253575E-2</v>
      </c>
      <c r="V47" s="194" t="s">
        <v>185</v>
      </c>
    </row>
    <row r="50" spans="4:21" ht="25.5" hidden="1" outlineLevel="1" x14ac:dyDescent="0.25">
      <c r="D50" s="146" t="s">
        <v>162</v>
      </c>
      <c r="E50" s="146">
        <f>3000/1000</f>
        <v>3</v>
      </c>
      <c r="F50" s="146" t="s">
        <v>172</v>
      </c>
      <c r="G50" s="132"/>
      <c r="H50" s="131"/>
      <c r="I50" s="131"/>
      <c r="J50" s="131"/>
      <c r="K50" s="131"/>
      <c r="L50" s="131"/>
      <c r="M50" s="131"/>
      <c r="N50" s="148">
        <f>E50</f>
        <v>3</v>
      </c>
      <c r="O50" s="148"/>
      <c r="P50" s="148"/>
      <c r="Q50" s="131"/>
      <c r="R50" s="131"/>
      <c r="S50" s="131"/>
      <c r="T50" s="131"/>
      <c r="U50" s="131"/>
    </row>
    <row r="51" spans="4:21" ht="25.5" hidden="1" outlineLevel="1" x14ac:dyDescent="0.25">
      <c r="D51" s="146" t="s">
        <v>163</v>
      </c>
      <c r="E51" s="146">
        <f>550/1000</f>
        <v>0.55000000000000004</v>
      </c>
      <c r="F51" s="146" t="s">
        <v>173</v>
      </c>
      <c r="G51" s="133"/>
      <c r="H51" s="133"/>
      <c r="I51" s="131"/>
      <c r="J51" s="131"/>
      <c r="K51" s="131"/>
      <c r="L51" s="131"/>
      <c r="M51" s="148">
        <f>E51</f>
        <v>0.55000000000000004</v>
      </c>
      <c r="N51" s="131"/>
      <c r="O51" s="131"/>
      <c r="P51" s="131"/>
      <c r="Q51" s="131"/>
      <c r="R51" s="131"/>
      <c r="S51" s="131"/>
      <c r="T51" s="131"/>
      <c r="U51" s="131"/>
    </row>
    <row r="52" spans="4:21" ht="25.5" hidden="1" outlineLevel="1" x14ac:dyDescent="0.25">
      <c r="D52" s="146" t="s">
        <v>164</v>
      </c>
      <c r="E52" s="146">
        <f>1200/1000</f>
        <v>1.2</v>
      </c>
      <c r="F52" s="146" t="s">
        <v>172</v>
      </c>
      <c r="G52" s="131"/>
      <c r="H52" s="131"/>
      <c r="I52" s="131"/>
      <c r="J52" s="131"/>
      <c r="K52" s="131"/>
      <c r="L52" s="131"/>
      <c r="M52" s="131"/>
      <c r="N52" s="148">
        <f>E52</f>
        <v>1.2</v>
      </c>
      <c r="O52" s="148"/>
      <c r="P52" s="148"/>
      <c r="Q52" s="131"/>
      <c r="R52" s="131"/>
      <c r="S52" s="131"/>
      <c r="T52" s="131"/>
      <c r="U52" s="131"/>
    </row>
    <row r="53" spans="4:21" ht="25.5" hidden="1" outlineLevel="1" x14ac:dyDescent="0.25">
      <c r="D53" s="146" t="s">
        <v>165</v>
      </c>
      <c r="E53" s="146">
        <f>1000/1000</f>
        <v>1</v>
      </c>
      <c r="F53" s="146" t="s">
        <v>172</v>
      </c>
      <c r="G53" s="131"/>
      <c r="H53" s="131"/>
      <c r="I53" s="131"/>
      <c r="J53" s="131"/>
      <c r="K53" s="131"/>
      <c r="L53" s="131"/>
      <c r="M53" s="131"/>
      <c r="N53" s="148">
        <f>E53</f>
        <v>1</v>
      </c>
      <c r="O53" s="148"/>
      <c r="P53" s="148"/>
      <c r="Q53" s="131"/>
      <c r="R53" s="131"/>
      <c r="S53" s="131"/>
      <c r="T53" s="131"/>
      <c r="U53" s="131"/>
    </row>
    <row r="54" spans="4:21" ht="25.5" hidden="1" outlineLevel="1" x14ac:dyDescent="0.25">
      <c r="D54" s="146" t="s">
        <v>166</v>
      </c>
      <c r="E54" s="146">
        <f>1600/1000</f>
        <v>1.6</v>
      </c>
      <c r="F54" s="146" t="s">
        <v>172</v>
      </c>
      <c r="G54" s="131"/>
      <c r="H54" s="131"/>
      <c r="I54" s="131"/>
      <c r="J54" s="131"/>
      <c r="K54" s="131"/>
      <c r="L54" s="131"/>
      <c r="M54" s="131"/>
      <c r="N54" s="148">
        <f>E54</f>
        <v>1.6</v>
      </c>
      <c r="O54" s="148"/>
      <c r="P54" s="148"/>
      <c r="Q54" s="131"/>
      <c r="R54" s="131"/>
      <c r="S54" s="131"/>
      <c r="T54" s="131"/>
      <c r="U54" s="131"/>
    </row>
    <row r="55" spans="4:21" ht="25.5" hidden="1" outlineLevel="1" x14ac:dyDescent="0.25">
      <c r="D55" s="146" t="s">
        <v>167</v>
      </c>
      <c r="E55" s="146">
        <f>400/1000</f>
        <v>0.4</v>
      </c>
      <c r="F55" s="146" t="s">
        <v>173</v>
      </c>
      <c r="G55" s="131"/>
      <c r="H55" s="131"/>
      <c r="I55" s="131"/>
      <c r="J55" s="131"/>
      <c r="K55" s="131"/>
      <c r="L55" s="131"/>
      <c r="M55" s="148">
        <f>E55</f>
        <v>0.4</v>
      </c>
      <c r="N55" s="131"/>
      <c r="O55" s="131"/>
      <c r="P55" s="131"/>
      <c r="Q55" s="131"/>
      <c r="R55" s="131"/>
      <c r="S55" s="131"/>
      <c r="T55" s="131"/>
      <c r="U55" s="131"/>
    </row>
    <row r="56" spans="4:21" ht="25.5" hidden="1" outlineLevel="1" x14ac:dyDescent="0.25">
      <c r="D56" s="146" t="s">
        <v>168</v>
      </c>
      <c r="E56" s="146">
        <f>1000/1000</f>
        <v>1</v>
      </c>
      <c r="F56" s="146" t="s">
        <v>172</v>
      </c>
      <c r="G56" s="131"/>
      <c r="H56" s="131"/>
      <c r="I56" s="131"/>
      <c r="J56" s="131"/>
      <c r="K56" s="131"/>
      <c r="L56" s="131"/>
      <c r="M56" s="131"/>
      <c r="N56" s="148">
        <f>E56</f>
        <v>1</v>
      </c>
      <c r="O56" s="148"/>
      <c r="P56" s="148"/>
      <c r="Q56" s="131"/>
      <c r="R56" s="131"/>
      <c r="S56" s="131"/>
      <c r="T56" s="131"/>
      <c r="U56" s="131"/>
    </row>
    <row r="57" spans="4:21" ht="25.5" hidden="1" outlineLevel="1" x14ac:dyDescent="0.25">
      <c r="D57" s="146" t="s">
        <v>169</v>
      </c>
      <c r="E57" s="146">
        <f>600/1000</f>
        <v>0.6</v>
      </c>
      <c r="F57" s="146" t="s">
        <v>173</v>
      </c>
      <c r="G57" s="131"/>
      <c r="H57" s="131"/>
      <c r="I57" s="131"/>
      <c r="J57" s="131"/>
      <c r="K57" s="131"/>
      <c r="L57" s="131"/>
      <c r="M57" s="148">
        <f>E57</f>
        <v>0.6</v>
      </c>
      <c r="N57" s="131"/>
      <c r="O57" s="131"/>
      <c r="P57" s="131"/>
      <c r="Q57" s="131"/>
      <c r="R57" s="131"/>
      <c r="S57" s="131"/>
      <c r="T57" s="131"/>
      <c r="U57" s="131"/>
    </row>
    <row r="58" spans="4:21" ht="25.5" hidden="1" outlineLevel="1" x14ac:dyDescent="0.25">
      <c r="D58" s="146" t="s">
        <v>170</v>
      </c>
      <c r="E58" s="146">
        <f>600/1000</f>
        <v>0.6</v>
      </c>
      <c r="F58" s="146" t="s">
        <v>172</v>
      </c>
      <c r="G58" s="132"/>
      <c r="H58" s="131"/>
      <c r="I58" s="131"/>
      <c r="J58" s="131"/>
      <c r="K58" s="131"/>
      <c r="L58" s="131"/>
      <c r="M58" s="131"/>
      <c r="N58" s="148">
        <f>E58</f>
        <v>0.6</v>
      </c>
      <c r="O58" s="148"/>
      <c r="P58" s="148"/>
      <c r="Q58" s="131"/>
      <c r="R58" s="131"/>
      <c r="S58" s="131"/>
      <c r="T58" s="131"/>
      <c r="U58" s="131"/>
    </row>
    <row r="59" spans="4:21" ht="25.5" hidden="1" outlineLevel="1" x14ac:dyDescent="0.25">
      <c r="D59" s="146" t="s">
        <v>171</v>
      </c>
      <c r="E59" s="146">
        <f>550/1000</f>
        <v>0.55000000000000004</v>
      </c>
      <c r="F59" s="146" t="s">
        <v>174</v>
      </c>
      <c r="G59" s="131"/>
      <c r="H59" s="131"/>
      <c r="I59" s="131"/>
      <c r="J59" s="131"/>
      <c r="K59" s="131"/>
      <c r="L59" s="131"/>
      <c r="M59" s="131"/>
      <c r="N59" s="148">
        <f>E59</f>
        <v>0.55000000000000004</v>
      </c>
      <c r="O59" s="148"/>
      <c r="P59" s="148"/>
      <c r="Q59" s="131"/>
      <c r="R59" s="131"/>
      <c r="S59" s="131"/>
      <c r="T59" s="131"/>
      <c r="U59" s="131"/>
    </row>
    <row r="60" spans="4:21" collapsed="1" x14ac:dyDescent="0.25">
      <c r="E60" s="147">
        <f>SUM(E50:E59)</f>
        <v>10.5</v>
      </c>
      <c r="M60" s="147">
        <f>SUM(M50:M59)</f>
        <v>1.55</v>
      </c>
      <c r="N60" s="147">
        <f>SUM(N50:N59)</f>
        <v>8.9500000000000011</v>
      </c>
      <c r="O60" s="147"/>
      <c r="P60" s="147"/>
    </row>
    <row r="61" spans="4:21" x14ac:dyDescent="0.25">
      <c r="N61" s="147"/>
      <c r="O61" s="147"/>
      <c r="P61" s="147"/>
    </row>
  </sheetData>
  <mergeCells count="26">
    <mergeCell ref="Q4:U4"/>
    <mergeCell ref="B16:B21"/>
    <mergeCell ref="C16:C21"/>
    <mergeCell ref="B4:B5"/>
    <mergeCell ref="C4:C5"/>
    <mergeCell ref="B6:B11"/>
    <mergeCell ref="C6:C11"/>
    <mergeCell ref="D4:D5"/>
    <mergeCell ref="E4:E5"/>
    <mergeCell ref="K4:P4"/>
    <mergeCell ref="I1:N1"/>
    <mergeCell ref="B41:B43"/>
    <mergeCell ref="C41:C43"/>
    <mergeCell ref="B44:B47"/>
    <mergeCell ref="C44:C47"/>
    <mergeCell ref="B39:B40"/>
    <mergeCell ref="C39:C40"/>
    <mergeCell ref="D39:D40"/>
    <mergeCell ref="E39:E40"/>
    <mergeCell ref="C2:U2"/>
    <mergeCell ref="C12:C15"/>
    <mergeCell ref="F4:H4"/>
    <mergeCell ref="F39:H39"/>
    <mergeCell ref="Q39:U39"/>
    <mergeCell ref="B12:B15"/>
    <mergeCell ref="K39:P39"/>
  </mergeCells>
  <printOptions horizontalCentered="1"/>
  <pageMargins left="0" right="0" top="0.39370078740157483" bottom="0.39370078740157483" header="0.31496062992125984" footer="0.31496062992125984"/>
  <pageSetup paperSize="9"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A1:AK71"/>
  <sheetViews>
    <sheetView view="pageBreakPreview" zoomScale="50" zoomScaleNormal="100" zoomScaleSheetLayoutView="50" workbookViewId="0">
      <pane xSplit="3" ySplit="12" topLeftCell="D22" activePane="bottomRight" state="frozen"/>
      <selection pane="topRight" activeCell="D1" sqref="D1"/>
      <selection pane="bottomLeft" activeCell="A13" sqref="A13"/>
      <selection pane="bottomRight" activeCell="O26" sqref="O26"/>
    </sheetView>
  </sheetViews>
  <sheetFormatPr defaultColWidth="9.140625" defaultRowHeight="18.75" outlineLevelCol="1" x14ac:dyDescent="0.3"/>
  <cols>
    <col min="1" max="1" width="9.28515625" style="2" bestFit="1" customWidth="1"/>
    <col min="2" max="2" width="47.7109375" style="11" customWidth="1"/>
    <col min="3" max="3" width="84.5703125" style="11" customWidth="1"/>
    <col min="4" max="4" width="17.5703125" style="2" customWidth="1"/>
    <col min="5" max="5" width="14.7109375" style="2" customWidth="1"/>
    <col min="6" max="6" width="14.5703125" style="2" bestFit="1" customWidth="1"/>
    <col min="7" max="7" width="16.42578125" style="122" bestFit="1" customWidth="1"/>
    <col min="8" max="8" width="14.5703125" style="2" bestFit="1" customWidth="1"/>
    <col min="9" max="9" width="15.28515625" style="2" customWidth="1"/>
    <col min="10" max="10" width="14.5703125" style="2" bestFit="1" customWidth="1"/>
    <col min="11" max="11" width="20.85546875" style="122" customWidth="1"/>
    <col min="12" max="12" width="46.28515625" style="116" customWidth="1"/>
    <col min="13" max="13" width="72.7109375" style="116" hidden="1" customWidth="1" outlineLevel="1"/>
    <col min="14" max="14" width="37.42578125" style="15" hidden="1" customWidth="1" outlineLevel="1"/>
    <col min="15" max="15" width="9.140625" style="2" collapsed="1"/>
    <col min="16" max="37" width="9.140625" style="16"/>
    <col min="38" max="16384" width="9.140625" style="2"/>
  </cols>
  <sheetData>
    <row r="1" spans="1:37" x14ac:dyDescent="0.3">
      <c r="G1" s="12"/>
      <c r="H1" s="13" t="s">
        <v>35</v>
      </c>
      <c r="I1" s="13"/>
      <c r="J1" s="13"/>
      <c r="K1" s="13"/>
      <c r="L1" s="14"/>
      <c r="M1" s="14"/>
    </row>
    <row r="2" spans="1:37" x14ac:dyDescent="0.3">
      <c r="G2" s="12"/>
      <c r="H2" s="13" t="s">
        <v>36</v>
      </c>
      <c r="I2" s="13"/>
      <c r="J2" s="13"/>
      <c r="K2" s="13"/>
      <c r="L2" s="14"/>
      <c r="M2" s="14"/>
    </row>
    <row r="3" spans="1:37" x14ac:dyDescent="0.3">
      <c r="G3" s="12"/>
      <c r="H3" s="13" t="s">
        <v>37</v>
      </c>
      <c r="I3" s="13"/>
      <c r="J3" s="13"/>
      <c r="K3" s="13"/>
      <c r="L3" s="14"/>
      <c r="M3" s="14"/>
    </row>
    <row r="4" spans="1:37" x14ac:dyDescent="0.3">
      <c r="G4" s="12"/>
      <c r="H4" s="13" t="s">
        <v>38</v>
      </c>
      <c r="I4" s="13"/>
      <c r="J4" s="13"/>
      <c r="K4" s="13"/>
      <c r="L4" s="14"/>
      <c r="M4" s="14"/>
    </row>
    <row r="5" spans="1:37" x14ac:dyDescent="0.3">
      <c r="G5" s="12"/>
      <c r="H5" s="13" t="s">
        <v>39</v>
      </c>
      <c r="I5" s="13"/>
      <c r="J5" s="13"/>
      <c r="K5" s="13"/>
      <c r="L5" s="14"/>
      <c r="M5" s="14"/>
    </row>
    <row r="6" spans="1:37" s="13" customFormat="1" x14ac:dyDescent="0.3">
      <c r="B6" s="17"/>
      <c r="C6" s="17"/>
      <c r="G6" s="12"/>
      <c r="H6" s="13" t="s">
        <v>40</v>
      </c>
      <c r="I6" s="14"/>
      <c r="J6" s="14"/>
      <c r="K6" s="14"/>
      <c r="L6" s="14"/>
      <c r="M6" s="14"/>
      <c r="N6" s="18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</row>
    <row r="7" spans="1:37" s="13" customFormat="1" ht="33" customHeight="1" thickBot="1" x14ac:dyDescent="0.35">
      <c r="A7" s="246" t="s">
        <v>41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0"/>
      <c r="M7" s="21"/>
      <c r="N7" s="18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</row>
    <row r="8" spans="1:37" s="13" customFormat="1" ht="20.25" thickTop="1" thickBot="1" x14ac:dyDescent="0.35">
      <c r="B8" s="17"/>
      <c r="C8" s="17"/>
      <c r="G8" s="12"/>
      <c r="K8" s="12"/>
      <c r="L8" s="14"/>
      <c r="M8" s="14"/>
      <c r="N8" s="18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</row>
    <row r="9" spans="1:37" s="12" customFormat="1" ht="15.75" customHeight="1" thickBot="1" x14ac:dyDescent="0.35">
      <c r="A9" s="247" t="s">
        <v>0</v>
      </c>
      <c r="B9" s="249" t="s">
        <v>42</v>
      </c>
      <c r="C9" s="251" t="s">
        <v>43</v>
      </c>
      <c r="D9" s="253"/>
      <c r="E9" s="253"/>
      <c r="F9" s="253"/>
      <c r="G9" s="253"/>
      <c r="H9" s="253"/>
      <c r="I9" s="253"/>
      <c r="J9" s="253"/>
      <c r="K9" s="254"/>
      <c r="L9" s="22"/>
      <c r="M9" s="23"/>
      <c r="N9" s="241" t="s">
        <v>44</v>
      </c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</row>
    <row r="10" spans="1:37" s="27" customFormat="1" ht="19.5" customHeight="1" x14ac:dyDescent="0.3">
      <c r="A10" s="248"/>
      <c r="B10" s="250"/>
      <c r="C10" s="252"/>
      <c r="D10" s="242"/>
      <c r="E10" s="242"/>
      <c r="F10" s="242"/>
      <c r="G10" s="243"/>
      <c r="H10" s="244"/>
      <c r="I10" s="244"/>
      <c r="J10" s="244"/>
      <c r="K10" s="245"/>
      <c r="L10" s="25"/>
      <c r="M10" s="26"/>
      <c r="N10" s="241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</row>
    <row r="11" spans="1:37" s="27" customFormat="1" x14ac:dyDescent="0.3">
      <c r="A11" s="248"/>
      <c r="B11" s="250"/>
      <c r="C11" s="252"/>
      <c r="D11" s="29">
        <v>2021</v>
      </c>
      <c r="E11" s="29">
        <v>2022</v>
      </c>
      <c r="F11" s="29">
        <v>2023</v>
      </c>
      <c r="G11" s="30" t="s">
        <v>45</v>
      </c>
      <c r="H11" s="29">
        <v>2021</v>
      </c>
      <c r="I11" s="29">
        <v>2022</v>
      </c>
      <c r="J11" s="29">
        <v>2023</v>
      </c>
      <c r="K11" s="31" t="s">
        <v>45</v>
      </c>
      <c r="L11" s="32"/>
      <c r="M11" s="26"/>
      <c r="N11" s="241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</row>
    <row r="12" spans="1:37" ht="19.5" thickBot="1" x14ac:dyDescent="0.35">
      <c r="A12" s="33"/>
      <c r="B12" s="34"/>
      <c r="C12" s="35"/>
      <c r="D12" s="36"/>
      <c r="E12" s="36"/>
      <c r="F12" s="36"/>
      <c r="G12" s="37"/>
      <c r="H12" s="36"/>
      <c r="I12" s="36"/>
      <c r="J12" s="36"/>
      <c r="K12" s="38"/>
      <c r="L12" s="39"/>
      <c r="M12" s="26"/>
      <c r="N12" s="40"/>
    </row>
    <row r="13" spans="1:37" s="13" customFormat="1" ht="44.25" customHeight="1" thickTop="1" thickBot="1" x14ac:dyDescent="0.35">
      <c r="A13" s="41">
        <v>1</v>
      </c>
      <c r="B13" s="42" t="s">
        <v>76</v>
      </c>
      <c r="C13" s="43" t="s">
        <v>77</v>
      </c>
      <c r="D13" s="44">
        <v>200.4140011657002</v>
      </c>
      <c r="E13" s="44">
        <v>202.61878769710427</v>
      </c>
      <c r="F13" s="44">
        <v>205.04997784066512</v>
      </c>
      <c r="G13" s="45">
        <f t="shared" ref="G13:G49" si="0">SUM(D13:F13)</f>
        <v>608.08276670346959</v>
      </c>
      <c r="H13" s="44">
        <v>107.43955800000002</v>
      </c>
      <c r="I13" s="44">
        <v>108.62139313800002</v>
      </c>
      <c r="J13" s="44">
        <v>109.92484985565601</v>
      </c>
      <c r="K13" s="46">
        <f t="shared" ref="K13:K49" si="1">SUM(H13:J13)</f>
        <v>325.98580099365603</v>
      </c>
      <c r="L13" s="47">
        <f>[6]приложение_к_ПЗ!Z13</f>
        <v>0</v>
      </c>
      <c r="M13" s="48" t="str">
        <f>[6]приложение_к_ПЗ!Z14</f>
        <v>Объект подключен, исключить</v>
      </c>
      <c r="N13" s="4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13" customFormat="1" ht="85.5" customHeight="1" thickTop="1" thickBot="1" x14ac:dyDescent="0.35">
      <c r="A14" s="41">
        <f t="shared" ref="A14:A49" si="2">A13+1</f>
        <v>2</v>
      </c>
      <c r="B14" s="50" t="s">
        <v>78</v>
      </c>
      <c r="C14" s="125" t="s">
        <v>79</v>
      </c>
      <c r="D14" s="44">
        <v>240</v>
      </c>
      <c r="E14" s="44"/>
      <c r="F14" s="44"/>
      <c r="G14" s="45">
        <f t="shared" si="0"/>
        <v>240</v>
      </c>
      <c r="H14" s="44"/>
      <c r="I14" s="44"/>
      <c r="J14" s="44"/>
      <c r="K14" s="46">
        <f t="shared" si="1"/>
        <v>0</v>
      </c>
      <c r="L14" s="47" t="s">
        <v>144</v>
      </c>
      <c r="M14" s="48" t="s">
        <v>46</v>
      </c>
      <c r="N14" s="4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s="13" customFormat="1" ht="76.5" thickTop="1" thickBot="1" x14ac:dyDescent="0.35">
      <c r="A15" s="41">
        <f t="shared" si="2"/>
        <v>3</v>
      </c>
      <c r="B15" s="50" t="s">
        <v>80</v>
      </c>
      <c r="C15" s="51" t="s">
        <v>81</v>
      </c>
      <c r="D15" s="44">
        <v>560</v>
      </c>
      <c r="E15" s="44"/>
      <c r="F15" s="44"/>
      <c r="G15" s="45">
        <f t="shared" si="0"/>
        <v>560</v>
      </c>
      <c r="H15" s="44">
        <v>530</v>
      </c>
      <c r="I15" s="44"/>
      <c r="J15" s="44"/>
      <c r="K15" s="46">
        <f t="shared" si="1"/>
        <v>530</v>
      </c>
      <c r="L15" s="47">
        <f>[6]приложение_к_ПЗ!Z17</f>
        <v>0</v>
      </c>
      <c r="M15" s="48" t="s">
        <v>47</v>
      </c>
      <c r="N15" s="49" t="s">
        <v>48</v>
      </c>
      <c r="O15" s="52"/>
      <c r="P15" s="53"/>
      <c r="Q15" s="53"/>
      <c r="R15" s="53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 s="13" customFormat="1" ht="39" thickTop="1" thickBot="1" x14ac:dyDescent="0.35">
      <c r="A16" s="41">
        <f t="shared" si="2"/>
        <v>4</v>
      </c>
      <c r="B16" s="50" t="s">
        <v>82</v>
      </c>
      <c r="C16" s="125" t="s">
        <v>83</v>
      </c>
      <c r="D16" s="44">
        <v>61.89</v>
      </c>
      <c r="E16" s="44"/>
      <c r="F16" s="44"/>
      <c r="G16" s="45">
        <f t="shared" si="0"/>
        <v>61.89</v>
      </c>
      <c r="H16" s="44"/>
      <c r="I16" s="44"/>
      <c r="J16" s="44"/>
      <c r="K16" s="46">
        <f t="shared" si="1"/>
        <v>0</v>
      </c>
      <c r="L16" s="47" t="s">
        <v>73</v>
      </c>
      <c r="M16" s="48" t="s">
        <v>49</v>
      </c>
      <c r="N16" s="4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55" customFormat="1" ht="57.75" thickTop="1" thickBot="1" x14ac:dyDescent="0.35">
      <c r="A17" s="41">
        <f t="shared" si="2"/>
        <v>5</v>
      </c>
      <c r="B17" s="50" t="s">
        <v>84</v>
      </c>
      <c r="C17" s="51" t="s">
        <v>85</v>
      </c>
      <c r="D17" s="44"/>
      <c r="E17" s="44">
        <v>403.03</v>
      </c>
      <c r="F17" s="44"/>
      <c r="G17" s="45">
        <f t="shared" si="0"/>
        <v>403.03</v>
      </c>
      <c r="H17" s="44"/>
      <c r="I17" s="44">
        <v>384.65</v>
      </c>
      <c r="J17" s="44"/>
      <c r="K17" s="46">
        <f t="shared" si="1"/>
        <v>384.65</v>
      </c>
      <c r="L17" s="47">
        <f>[6]приложение_к_ПЗ!Z21</f>
        <v>0</v>
      </c>
      <c r="M17" s="48" t="s">
        <v>50</v>
      </c>
      <c r="N17" s="54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</row>
    <row r="18" spans="1:37" s="62" customFormat="1" ht="51" customHeight="1" thickTop="1" thickBot="1" x14ac:dyDescent="0.35">
      <c r="A18" s="41">
        <f t="shared" si="2"/>
        <v>6</v>
      </c>
      <c r="B18" s="50" t="s">
        <v>86</v>
      </c>
      <c r="C18" s="51" t="s">
        <v>87</v>
      </c>
      <c r="D18" s="44"/>
      <c r="E18" s="44"/>
      <c r="F18" s="44"/>
      <c r="G18" s="45">
        <f t="shared" si="0"/>
        <v>0</v>
      </c>
      <c r="H18" s="44"/>
      <c r="I18" s="44"/>
      <c r="J18" s="44">
        <v>293.7</v>
      </c>
      <c r="K18" s="46">
        <f t="shared" si="1"/>
        <v>293.7</v>
      </c>
      <c r="L18" s="47">
        <f>[6]приложение_к_ПЗ!Z22</f>
        <v>0</v>
      </c>
      <c r="M18" s="57" t="s">
        <v>49</v>
      </c>
      <c r="N18" s="58"/>
      <c r="O18" s="59"/>
      <c r="P18" s="60"/>
      <c r="Q18" s="60"/>
      <c r="R18" s="60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</row>
    <row r="19" spans="1:37" s="68" customFormat="1" ht="76.5" customHeight="1" thickTop="1" thickBot="1" x14ac:dyDescent="0.35">
      <c r="A19" s="41">
        <f t="shared" si="2"/>
        <v>7</v>
      </c>
      <c r="B19" s="50" t="s">
        <v>88</v>
      </c>
      <c r="C19" s="125" t="s">
        <v>89</v>
      </c>
      <c r="D19" s="44"/>
      <c r="E19" s="44">
        <v>48.4</v>
      </c>
      <c r="F19" s="44"/>
      <c r="G19" s="45">
        <f t="shared" si="0"/>
        <v>48.4</v>
      </c>
      <c r="H19" s="44"/>
      <c r="I19" s="44"/>
      <c r="J19" s="44"/>
      <c r="K19" s="46">
        <f t="shared" si="1"/>
        <v>0</v>
      </c>
      <c r="L19" s="47" t="s">
        <v>144</v>
      </c>
      <c r="M19" s="63" t="s">
        <v>51</v>
      </c>
      <c r="N19" s="64"/>
      <c r="O19" s="65"/>
      <c r="P19" s="66"/>
      <c r="Q19" s="66"/>
      <c r="R19" s="66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</row>
    <row r="20" spans="1:37" s="71" customFormat="1" ht="96.75" customHeight="1" thickTop="1" thickBot="1" x14ac:dyDescent="0.35">
      <c r="A20" s="41">
        <f t="shared" si="2"/>
        <v>8</v>
      </c>
      <c r="B20" s="50" t="s">
        <v>90</v>
      </c>
      <c r="C20" s="125" t="s">
        <v>91</v>
      </c>
      <c r="D20" s="44">
        <v>125.74</v>
      </c>
      <c r="E20" s="44"/>
      <c r="F20" s="44"/>
      <c r="G20" s="45">
        <f t="shared" si="0"/>
        <v>125.74</v>
      </c>
      <c r="H20" s="44">
        <v>121.11</v>
      </c>
      <c r="I20" s="44"/>
      <c r="J20" s="44"/>
      <c r="K20" s="46">
        <f t="shared" si="1"/>
        <v>121.11</v>
      </c>
      <c r="L20" s="47" t="s">
        <v>73</v>
      </c>
      <c r="M20" s="69" t="s">
        <v>50</v>
      </c>
      <c r="N20" s="70" t="s">
        <v>48</v>
      </c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</row>
    <row r="21" spans="1:37" s="74" customFormat="1" ht="116.25" customHeight="1" thickTop="1" thickBot="1" x14ac:dyDescent="0.35">
      <c r="A21" s="41">
        <f t="shared" si="2"/>
        <v>9</v>
      </c>
      <c r="B21" s="50" t="s">
        <v>92</v>
      </c>
      <c r="C21" s="51" t="s">
        <v>93</v>
      </c>
      <c r="D21" s="44"/>
      <c r="E21" s="44">
        <v>1220</v>
      </c>
      <c r="F21" s="44"/>
      <c r="G21" s="45">
        <f t="shared" si="0"/>
        <v>1220</v>
      </c>
      <c r="H21" s="44"/>
      <c r="I21" s="44">
        <v>1131</v>
      </c>
      <c r="J21" s="44"/>
      <c r="K21" s="46">
        <f t="shared" si="1"/>
        <v>1131</v>
      </c>
      <c r="L21" s="47" t="str">
        <f>[6]приложение_к_ПЗ!Z41</f>
        <v>Мероприятие по водоотведению реализовано, исключить мощность по водоотведению</v>
      </c>
      <c r="M21" s="73" t="s">
        <v>52</v>
      </c>
      <c r="N21" s="49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</row>
    <row r="22" spans="1:37" s="55" customFormat="1" ht="106.5" customHeight="1" thickTop="1" thickBot="1" x14ac:dyDescent="0.35">
      <c r="A22" s="41">
        <f t="shared" si="2"/>
        <v>10</v>
      </c>
      <c r="B22" s="50" t="s">
        <v>94</v>
      </c>
      <c r="C22" s="125" t="s">
        <v>95</v>
      </c>
      <c r="D22" s="44"/>
      <c r="E22" s="44">
        <v>141.77000000000001</v>
      </c>
      <c r="F22" s="44"/>
      <c r="G22" s="45">
        <f t="shared" si="0"/>
        <v>141.77000000000001</v>
      </c>
      <c r="H22" s="44"/>
      <c r="I22" s="44">
        <v>136.94999999999999</v>
      </c>
      <c r="J22" s="44"/>
      <c r="K22" s="46">
        <f t="shared" si="1"/>
        <v>136.94999999999999</v>
      </c>
      <c r="L22" s="47" t="s">
        <v>75</v>
      </c>
      <c r="M22" s="76" t="s">
        <v>50</v>
      </c>
      <c r="N22" s="54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</row>
    <row r="23" spans="1:37" s="13" customFormat="1" ht="137.25" customHeight="1" thickTop="1" thickBot="1" x14ac:dyDescent="0.35">
      <c r="A23" s="41">
        <f t="shared" si="2"/>
        <v>11</v>
      </c>
      <c r="B23" s="50" t="s">
        <v>96</v>
      </c>
      <c r="C23" s="51" t="s">
        <v>97</v>
      </c>
      <c r="D23" s="44"/>
      <c r="E23" s="44">
        <v>576.9</v>
      </c>
      <c r="F23" s="44"/>
      <c r="G23" s="45">
        <f t="shared" si="0"/>
        <v>576.9</v>
      </c>
      <c r="H23" s="44"/>
      <c r="I23" s="44">
        <v>576.9</v>
      </c>
      <c r="J23" s="44"/>
      <c r="K23" s="46">
        <f t="shared" si="1"/>
        <v>576.9</v>
      </c>
      <c r="L23" s="47">
        <f>[6]приложение_к_ПЗ!Z43</f>
        <v>0</v>
      </c>
      <c r="M23" s="48" t="s">
        <v>50</v>
      </c>
      <c r="N23" s="49" t="s">
        <v>48</v>
      </c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79" customFormat="1" ht="57.75" thickTop="1" thickBot="1" x14ac:dyDescent="0.35">
      <c r="A24" s="41">
        <f t="shared" si="2"/>
        <v>12</v>
      </c>
      <c r="B24" s="50" t="s">
        <v>98</v>
      </c>
      <c r="C24" s="125" t="s">
        <v>99</v>
      </c>
      <c r="D24" s="44"/>
      <c r="E24" s="44">
        <v>282.3</v>
      </c>
      <c r="F24" s="44"/>
      <c r="G24" s="45">
        <f t="shared" si="0"/>
        <v>282.3</v>
      </c>
      <c r="H24" s="44"/>
      <c r="I24" s="44">
        <v>203.1</v>
      </c>
      <c r="J24" s="44"/>
      <c r="K24" s="46">
        <f t="shared" si="1"/>
        <v>203.1</v>
      </c>
      <c r="L24" s="47">
        <f>[6]приложение_к_ПЗ!Z49</f>
        <v>0</v>
      </c>
      <c r="M24" s="77" t="s">
        <v>53</v>
      </c>
      <c r="N24" s="78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</row>
    <row r="25" spans="1:37" s="68" customFormat="1" ht="111" customHeight="1" thickTop="1" thickBot="1" x14ac:dyDescent="0.35">
      <c r="A25" s="41">
        <f t="shared" si="2"/>
        <v>13</v>
      </c>
      <c r="B25" s="50" t="s">
        <v>100</v>
      </c>
      <c r="C25" s="126" t="s">
        <v>101</v>
      </c>
      <c r="D25" s="44"/>
      <c r="E25" s="44"/>
      <c r="F25" s="44">
        <v>64.430000000000007</v>
      </c>
      <c r="G25" s="45">
        <f t="shared" si="0"/>
        <v>64.430000000000007</v>
      </c>
      <c r="H25" s="44"/>
      <c r="I25" s="44"/>
      <c r="J25" s="44">
        <v>64.430000000000007</v>
      </c>
      <c r="K25" s="46">
        <f t="shared" si="1"/>
        <v>64.430000000000007</v>
      </c>
      <c r="L25" s="47"/>
      <c r="M25" s="63" t="s">
        <v>49</v>
      </c>
      <c r="N25" s="64" t="s">
        <v>48</v>
      </c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</row>
    <row r="26" spans="1:37" s="74" customFormat="1" ht="114" thickTop="1" thickBot="1" x14ac:dyDescent="0.35">
      <c r="A26" s="41">
        <f t="shared" si="2"/>
        <v>14</v>
      </c>
      <c r="B26" s="50" t="s">
        <v>102</v>
      </c>
      <c r="C26" s="125" t="s">
        <v>103</v>
      </c>
      <c r="D26" s="44">
        <v>502.7</v>
      </c>
      <c r="E26" s="44"/>
      <c r="F26" s="44"/>
      <c r="G26" s="45">
        <f t="shared" si="0"/>
        <v>502.7</v>
      </c>
      <c r="H26" s="44">
        <v>502.7</v>
      </c>
      <c r="I26" s="44"/>
      <c r="J26" s="44"/>
      <c r="K26" s="46">
        <f t="shared" si="1"/>
        <v>502.7</v>
      </c>
      <c r="L26" s="47"/>
      <c r="M26" s="48" t="s">
        <v>50</v>
      </c>
      <c r="N26" s="49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</row>
    <row r="27" spans="1:37" s="13" customFormat="1" ht="57.75" thickTop="1" thickBot="1" x14ac:dyDescent="0.35">
      <c r="A27" s="41">
        <f t="shared" si="2"/>
        <v>15</v>
      </c>
      <c r="B27" s="50" t="s">
        <v>104</v>
      </c>
      <c r="C27" s="125" t="s">
        <v>105</v>
      </c>
      <c r="D27" s="81"/>
      <c r="E27" s="81">
        <v>57.6</v>
      </c>
      <c r="F27" s="82"/>
      <c r="G27" s="83">
        <f t="shared" si="0"/>
        <v>57.6</v>
      </c>
      <c r="H27" s="81"/>
      <c r="I27" s="81">
        <v>57.6</v>
      </c>
      <c r="J27" s="82"/>
      <c r="K27" s="84">
        <f t="shared" si="1"/>
        <v>57.6</v>
      </c>
      <c r="L27" s="85" t="s">
        <v>74</v>
      </c>
      <c r="M27" s="48" t="s">
        <v>54</v>
      </c>
      <c r="N27" s="4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55" customFormat="1" ht="76.5" thickTop="1" thickBot="1" x14ac:dyDescent="0.35">
      <c r="A28" s="41">
        <f t="shared" si="2"/>
        <v>16</v>
      </c>
      <c r="B28" s="50" t="s">
        <v>104</v>
      </c>
      <c r="C28" s="125" t="s">
        <v>106</v>
      </c>
      <c r="D28" s="44"/>
      <c r="E28" s="44">
        <v>135.6</v>
      </c>
      <c r="F28" s="44"/>
      <c r="G28" s="45">
        <f t="shared" si="0"/>
        <v>135.6</v>
      </c>
      <c r="H28" s="44"/>
      <c r="I28" s="44">
        <v>93</v>
      </c>
      <c r="J28" s="44"/>
      <c r="K28" s="46">
        <f t="shared" si="1"/>
        <v>93</v>
      </c>
      <c r="L28" s="85" t="s">
        <v>74</v>
      </c>
      <c r="M28" s="48" t="s">
        <v>49</v>
      </c>
      <c r="N28" s="54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</row>
    <row r="29" spans="1:37" s="74" customFormat="1" ht="114" thickTop="1" thickBot="1" x14ac:dyDescent="0.35">
      <c r="A29" s="41">
        <f t="shared" si="2"/>
        <v>17</v>
      </c>
      <c r="B29" s="50" t="s">
        <v>107</v>
      </c>
      <c r="C29" s="125" t="s">
        <v>108</v>
      </c>
      <c r="D29" s="44"/>
      <c r="E29" s="44"/>
      <c r="F29" s="44">
        <v>61.3</v>
      </c>
      <c r="G29" s="45">
        <f t="shared" si="0"/>
        <v>61.3</v>
      </c>
      <c r="H29" s="44"/>
      <c r="I29" s="44"/>
      <c r="J29" s="44"/>
      <c r="K29" s="46">
        <f t="shared" si="1"/>
        <v>0</v>
      </c>
      <c r="L29" s="47" t="s">
        <v>73</v>
      </c>
      <c r="M29" s="48" t="s">
        <v>50</v>
      </c>
      <c r="N29" s="49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</row>
    <row r="30" spans="1:37" s="74" customFormat="1" ht="76.5" collapsed="1" thickTop="1" thickBot="1" x14ac:dyDescent="0.35">
      <c r="A30" s="41">
        <f t="shared" si="2"/>
        <v>18</v>
      </c>
      <c r="B30" s="50" t="s">
        <v>109</v>
      </c>
      <c r="C30" s="125" t="s">
        <v>110</v>
      </c>
      <c r="D30" s="44">
        <v>198.92</v>
      </c>
      <c r="E30" s="44"/>
      <c r="F30" s="44"/>
      <c r="G30" s="45">
        <f t="shared" si="0"/>
        <v>198.92</v>
      </c>
      <c r="H30" s="44"/>
      <c r="I30" s="44"/>
      <c r="J30" s="44"/>
      <c r="K30" s="46">
        <f t="shared" si="1"/>
        <v>0</v>
      </c>
      <c r="L30" s="47"/>
      <c r="M30" s="48" t="s">
        <v>55</v>
      </c>
      <c r="N30" s="49"/>
      <c r="O30" s="86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</row>
    <row r="31" spans="1:37" s="88" customFormat="1" ht="76.5" thickTop="1" thickBot="1" x14ac:dyDescent="0.35">
      <c r="A31" s="41">
        <f t="shared" si="2"/>
        <v>19</v>
      </c>
      <c r="B31" s="50" t="s">
        <v>111</v>
      </c>
      <c r="C31" s="125" t="s">
        <v>112</v>
      </c>
      <c r="D31" s="44">
        <v>1040</v>
      </c>
      <c r="E31" s="44"/>
      <c r="F31" s="44"/>
      <c r="G31" s="45">
        <f t="shared" si="0"/>
        <v>1040</v>
      </c>
      <c r="H31" s="44">
        <v>995.95</v>
      </c>
      <c r="I31" s="44"/>
      <c r="J31" s="44"/>
      <c r="K31" s="46">
        <f t="shared" si="1"/>
        <v>995.95</v>
      </c>
      <c r="L31" s="47" t="s">
        <v>73</v>
      </c>
      <c r="M31" s="48" t="s">
        <v>49</v>
      </c>
      <c r="N31" s="87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</row>
    <row r="32" spans="1:37" s="92" customFormat="1" ht="39" thickTop="1" thickBot="1" x14ac:dyDescent="0.35">
      <c r="A32" s="41">
        <f t="shared" si="2"/>
        <v>20</v>
      </c>
      <c r="B32" s="50" t="s">
        <v>113</v>
      </c>
      <c r="C32" s="51" t="s">
        <v>114</v>
      </c>
      <c r="D32" s="44"/>
      <c r="E32" s="44">
        <v>107.791</v>
      </c>
      <c r="F32" s="44"/>
      <c r="G32" s="45">
        <f t="shared" si="0"/>
        <v>107.791</v>
      </c>
      <c r="H32" s="44"/>
      <c r="I32" s="44">
        <v>107.791</v>
      </c>
      <c r="J32" s="44"/>
      <c r="K32" s="46">
        <f t="shared" si="1"/>
        <v>107.791</v>
      </c>
      <c r="L32" s="47"/>
      <c r="M32" s="90" t="s">
        <v>56</v>
      </c>
      <c r="N32" s="91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</row>
    <row r="33" spans="1:37" s="92" customFormat="1" ht="78" customHeight="1" thickTop="1" thickBot="1" x14ac:dyDescent="0.35">
      <c r="A33" s="41">
        <f t="shared" si="2"/>
        <v>21</v>
      </c>
      <c r="B33" s="50" t="s">
        <v>115</v>
      </c>
      <c r="C33" s="51" t="s">
        <v>116</v>
      </c>
      <c r="D33" s="44">
        <v>179.67</v>
      </c>
      <c r="E33" s="44"/>
      <c r="F33" s="44"/>
      <c r="G33" s="45">
        <f t="shared" si="0"/>
        <v>179.67</v>
      </c>
      <c r="H33" s="44">
        <v>179.67</v>
      </c>
      <c r="I33" s="44"/>
      <c r="J33" s="44"/>
      <c r="K33" s="46">
        <f t="shared" si="1"/>
        <v>179.67</v>
      </c>
      <c r="L33" s="47"/>
      <c r="M33" s="90" t="s">
        <v>53</v>
      </c>
      <c r="N33" s="91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</row>
    <row r="34" spans="1:37" s="92" customFormat="1" ht="73.5" customHeight="1" thickTop="1" thickBot="1" x14ac:dyDescent="0.35">
      <c r="A34" s="41">
        <f t="shared" si="2"/>
        <v>22</v>
      </c>
      <c r="B34" s="50" t="s">
        <v>117</v>
      </c>
      <c r="C34" s="125" t="s">
        <v>118</v>
      </c>
      <c r="D34" s="44">
        <v>72.7</v>
      </c>
      <c r="E34" s="44"/>
      <c r="F34" s="44"/>
      <c r="G34" s="45">
        <f t="shared" si="0"/>
        <v>72.7</v>
      </c>
      <c r="H34" s="44">
        <v>68.8</v>
      </c>
      <c r="I34" s="44"/>
      <c r="J34" s="44"/>
      <c r="K34" s="46">
        <f t="shared" si="1"/>
        <v>68.8</v>
      </c>
      <c r="L34" s="47" t="s">
        <v>73</v>
      </c>
      <c r="M34" s="90" t="s">
        <v>53</v>
      </c>
      <c r="N34" s="91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</row>
    <row r="35" spans="1:37" s="92" customFormat="1" ht="63" customHeight="1" thickTop="1" thickBot="1" x14ac:dyDescent="0.35">
      <c r="A35" s="41">
        <f t="shared" si="2"/>
        <v>23</v>
      </c>
      <c r="B35" s="50" t="s">
        <v>119</v>
      </c>
      <c r="C35" s="125" t="s">
        <v>120</v>
      </c>
      <c r="D35" s="44">
        <v>134.5</v>
      </c>
      <c r="E35" s="44"/>
      <c r="F35" s="44"/>
      <c r="G35" s="45">
        <f t="shared" si="0"/>
        <v>134.5</v>
      </c>
      <c r="H35" s="44"/>
      <c r="I35" s="44"/>
      <c r="J35" s="44"/>
      <c r="K35" s="46">
        <f t="shared" si="1"/>
        <v>0</v>
      </c>
      <c r="L35" s="47"/>
      <c r="M35" s="90" t="s">
        <v>49</v>
      </c>
      <c r="N35" s="91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</row>
    <row r="36" spans="1:37" s="92" customFormat="1" ht="48" customHeight="1" thickTop="1" thickBot="1" x14ac:dyDescent="0.35">
      <c r="A36" s="41">
        <f t="shared" si="2"/>
        <v>24</v>
      </c>
      <c r="B36" s="50" t="s">
        <v>121</v>
      </c>
      <c r="C36" s="125" t="s">
        <v>122</v>
      </c>
      <c r="D36" s="44"/>
      <c r="E36" s="44">
        <v>97.26</v>
      </c>
      <c r="F36" s="44"/>
      <c r="G36" s="45">
        <f t="shared" si="0"/>
        <v>97.26</v>
      </c>
      <c r="H36" s="44"/>
      <c r="I36" s="44">
        <v>97.26</v>
      </c>
      <c r="J36" s="44"/>
      <c r="K36" s="46">
        <f t="shared" si="1"/>
        <v>97.26</v>
      </c>
      <c r="L36" s="47"/>
      <c r="M36" s="90" t="s">
        <v>54</v>
      </c>
      <c r="N36" s="91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</row>
    <row r="37" spans="1:37" s="92" customFormat="1" ht="57.75" thickTop="1" thickBot="1" x14ac:dyDescent="0.35">
      <c r="A37" s="41">
        <f t="shared" si="2"/>
        <v>25</v>
      </c>
      <c r="B37" s="50" t="s">
        <v>123</v>
      </c>
      <c r="C37" s="125" t="s">
        <v>124</v>
      </c>
      <c r="D37" s="44">
        <v>133.37</v>
      </c>
      <c r="E37" s="44"/>
      <c r="F37" s="44"/>
      <c r="G37" s="45">
        <f t="shared" si="0"/>
        <v>133.37</v>
      </c>
      <c r="H37" s="44"/>
      <c r="I37" s="44"/>
      <c r="J37" s="44"/>
      <c r="K37" s="46">
        <f t="shared" si="1"/>
        <v>0</v>
      </c>
      <c r="L37" s="47" t="s">
        <v>144</v>
      </c>
      <c r="M37" s="90" t="s">
        <v>57</v>
      </c>
      <c r="N37" s="91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</row>
    <row r="38" spans="1:37" s="92" customFormat="1" ht="59.25" customHeight="1" thickTop="1" thickBot="1" x14ac:dyDescent="0.35">
      <c r="A38" s="41">
        <f t="shared" si="2"/>
        <v>26</v>
      </c>
      <c r="B38" s="50" t="s">
        <v>125</v>
      </c>
      <c r="C38" s="51" t="s">
        <v>126</v>
      </c>
      <c r="D38" s="44"/>
      <c r="E38" s="44">
        <v>63.984999999999999</v>
      </c>
      <c r="F38" s="44"/>
      <c r="G38" s="45">
        <f t="shared" si="0"/>
        <v>63.984999999999999</v>
      </c>
      <c r="H38" s="44"/>
      <c r="I38" s="44">
        <v>62.195</v>
      </c>
      <c r="J38" s="44"/>
      <c r="K38" s="46">
        <f t="shared" si="1"/>
        <v>62.195</v>
      </c>
      <c r="L38" s="47"/>
      <c r="M38" s="48" t="s">
        <v>58</v>
      </c>
      <c r="N38" s="91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</row>
    <row r="39" spans="1:37" s="92" customFormat="1" ht="59.25" customHeight="1" thickTop="1" thickBot="1" x14ac:dyDescent="0.35">
      <c r="A39" s="41">
        <f t="shared" si="2"/>
        <v>27</v>
      </c>
      <c r="B39" s="50"/>
      <c r="C39" s="126" t="s">
        <v>127</v>
      </c>
      <c r="D39" s="44"/>
      <c r="E39" s="44" t="s">
        <v>59</v>
      </c>
      <c r="F39" s="44"/>
      <c r="G39" s="45">
        <f t="shared" si="0"/>
        <v>0</v>
      </c>
      <c r="H39" s="44"/>
      <c r="I39" s="44"/>
      <c r="J39" s="44"/>
      <c r="K39" s="46">
        <f t="shared" si="1"/>
        <v>0</v>
      </c>
      <c r="L39" s="47"/>
      <c r="M39" s="48"/>
      <c r="N39" s="91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</row>
    <row r="40" spans="1:37" s="92" customFormat="1" ht="59.25" customHeight="1" thickTop="1" thickBot="1" x14ac:dyDescent="0.35">
      <c r="A40" s="41">
        <f t="shared" si="2"/>
        <v>28</v>
      </c>
      <c r="B40" s="50"/>
      <c r="C40" s="126" t="s">
        <v>128</v>
      </c>
      <c r="D40" s="44"/>
      <c r="E40" s="44"/>
      <c r="F40" s="44"/>
      <c r="G40" s="45">
        <f t="shared" si="0"/>
        <v>0</v>
      </c>
      <c r="H40" s="44"/>
      <c r="I40" s="44" t="s">
        <v>60</v>
      </c>
      <c r="J40" s="44"/>
      <c r="K40" s="46">
        <f t="shared" si="1"/>
        <v>0</v>
      </c>
      <c r="L40" s="47" t="s">
        <v>60</v>
      </c>
      <c r="M40" s="48"/>
      <c r="N40" s="91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</row>
    <row r="41" spans="1:37" s="92" customFormat="1" ht="59.25" customHeight="1" thickTop="1" thickBot="1" x14ac:dyDescent="0.35">
      <c r="A41" s="41">
        <f t="shared" si="2"/>
        <v>29</v>
      </c>
      <c r="B41" s="50"/>
      <c r="C41" s="126" t="s">
        <v>129</v>
      </c>
      <c r="D41" s="44"/>
      <c r="E41" s="44"/>
      <c r="F41" s="44"/>
      <c r="G41" s="45">
        <f t="shared" si="0"/>
        <v>0</v>
      </c>
      <c r="H41" s="44"/>
      <c r="I41" s="44" t="s">
        <v>61</v>
      </c>
      <c r="J41" s="44"/>
      <c r="K41" s="46">
        <f t="shared" si="1"/>
        <v>0</v>
      </c>
      <c r="L41" s="47" t="s">
        <v>61</v>
      </c>
      <c r="M41" s="48"/>
      <c r="N41" s="91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</row>
    <row r="42" spans="1:37" s="92" customFormat="1" ht="59.25" customHeight="1" thickTop="1" thickBot="1" x14ac:dyDescent="0.35">
      <c r="A42" s="41">
        <f t="shared" si="2"/>
        <v>30</v>
      </c>
      <c r="B42" s="42" t="s">
        <v>48</v>
      </c>
      <c r="C42" s="124" t="s">
        <v>130</v>
      </c>
      <c r="D42" s="44"/>
      <c r="E42" s="44"/>
      <c r="F42" s="44">
        <v>9956.01</v>
      </c>
      <c r="G42" s="45">
        <f t="shared" si="0"/>
        <v>9956.01</v>
      </c>
      <c r="H42" s="44"/>
      <c r="I42" s="44"/>
      <c r="J42" s="44">
        <v>9956.01</v>
      </c>
      <c r="K42" s="46">
        <f t="shared" si="1"/>
        <v>9956.01</v>
      </c>
      <c r="L42" s="47"/>
      <c r="M42" s="48"/>
      <c r="N42" s="91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</row>
    <row r="43" spans="1:37" s="92" customFormat="1" ht="59.25" customHeight="1" thickTop="1" thickBot="1" x14ac:dyDescent="0.35">
      <c r="A43" s="41">
        <f t="shared" si="2"/>
        <v>31</v>
      </c>
      <c r="B43" s="42" t="s">
        <v>131</v>
      </c>
      <c r="C43" s="124" t="s">
        <v>132</v>
      </c>
      <c r="D43" s="44"/>
      <c r="E43" s="44"/>
      <c r="F43" s="44"/>
      <c r="G43" s="45">
        <f t="shared" si="0"/>
        <v>0</v>
      </c>
      <c r="H43" s="44"/>
      <c r="I43" s="44">
        <v>2000</v>
      </c>
      <c r="J43" s="44"/>
      <c r="K43" s="46">
        <f t="shared" si="1"/>
        <v>2000</v>
      </c>
      <c r="L43" s="47"/>
      <c r="M43" s="48"/>
      <c r="N43" s="91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</row>
    <row r="44" spans="1:37" s="13" customFormat="1" ht="58.5" customHeight="1" thickTop="1" thickBot="1" x14ac:dyDescent="0.35">
      <c r="A44" s="41">
        <f t="shared" si="2"/>
        <v>32</v>
      </c>
      <c r="B44" s="42" t="s">
        <v>133</v>
      </c>
      <c r="C44" s="124" t="s">
        <v>134</v>
      </c>
      <c r="D44" s="44"/>
      <c r="E44" s="44">
        <v>146.24</v>
      </c>
      <c r="F44" s="44"/>
      <c r="G44" s="45">
        <f t="shared" si="0"/>
        <v>146.24</v>
      </c>
      <c r="H44" s="44"/>
      <c r="I44" s="44">
        <v>140.28</v>
      </c>
      <c r="J44" s="44"/>
      <c r="K44" s="46">
        <f t="shared" si="1"/>
        <v>140.28</v>
      </c>
      <c r="L44" s="47">
        <f>[6]приложение_к_ПЗ!Z94</f>
        <v>0</v>
      </c>
      <c r="M44" s="48"/>
      <c r="N44" s="4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74" customFormat="1" ht="57.75" customHeight="1" thickTop="1" thickBot="1" x14ac:dyDescent="0.35">
      <c r="A45" s="41">
        <f t="shared" si="2"/>
        <v>33</v>
      </c>
      <c r="B45" s="42" t="s">
        <v>135</v>
      </c>
      <c r="C45" s="124" t="s">
        <v>136</v>
      </c>
      <c r="D45" s="44"/>
      <c r="E45" s="44">
        <v>362.7</v>
      </c>
      <c r="F45" s="44"/>
      <c r="G45" s="45">
        <f t="shared" si="0"/>
        <v>362.7</v>
      </c>
      <c r="H45" s="44"/>
      <c r="I45" s="44">
        <v>341.95</v>
      </c>
      <c r="J45" s="44"/>
      <c r="K45" s="46">
        <f t="shared" si="1"/>
        <v>341.95</v>
      </c>
      <c r="L45" s="47">
        <f>[6]приложение_к_ПЗ!Z95</f>
        <v>0</v>
      </c>
      <c r="M45" s="48"/>
      <c r="N45" s="49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</row>
    <row r="46" spans="1:37" s="74" customFormat="1" ht="57.75" customHeight="1" thickTop="1" thickBot="1" x14ac:dyDescent="0.35">
      <c r="A46" s="41">
        <f t="shared" si="2"/>
        <v>34</v>
      </c>
      <c r="B46" s="42" t="s">
        <v>137</v>
      </c>
      <c r="C46" s="125" t="s">
        <v>138</v>
      </c>
      <c r="D46" s="94"/>
      <c r="E46" s="94"/>
      <c r="F46" s="94">
        <v>115.262</v>
      </c>
      <c r="G46" s="45">
        <f t="shared" si="0"/>
        <v>115.262</v>
      </c>
      <c r="H46" s="94"/>
      <c r="I46" s="94"/>
      <c r="J46" s="94"/>
      <c r="K46" s="46">
        <f>SUM(H46:J46)</f>
        <v>0</v>
      </c>
      <c r="L46" s="47"/>
      <c r="M46" s="48"/>
      <c r="N46" s="49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</row>
    <row r="47" spans="1:37" s="74" customFormat="1" ht="57.75" customHeight="1" thickTop="1" thickBot="1" x14ac:dyDescent="0.35">
      <c r="A47" s="41">
        <f t="shared" si="2"/>
        <v>35</v>
      </c>
      <c r="B47" s="42" t="s">
        <v>137</v>
      </c>
      <c r="C47" s="51" t="s">
        <v>139</v>
      </c>
      <c r="D47" s="94"/>
      <c r="E47" s="94"/>
      <c r="F47" s="94">
        <v>94.97</v>
      </c>
      <c r="G47" s="45">
        <f t="shared" si="0"/>
        <v>94.97</v>
      </c>
      <c r="H47" s="94"/>
      <c r="I47" s="94"/>
      <c r="J47" s="94"/>
      <c r="K47" s="46">
        <f t="shared" si="1"/>
        <v>0</v>
      </c>
      <c r="L47" s="47"/>
      <c r="M47" s="48"/>
      <c r="N47" s="49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</row>
    <row r="48" spans="1:37" s="74" customFormat="1" ht="57.75" customHeight="1" thickTop="1" thickBot="1" x14ac:dyDescent="0.35">
      <c r="A48" s="41">
        <f t="shared" si="2"/>
        <v>36</v>
      </c>
      <c r="B48" s="42" t="s">
        <v>140</v>
      </c>
      <c r="C48" s="124" t="s">
        <v>141</v>
      </c>
      <c r="D48" s="94"/>
      <c r="E48" s="94"/>
      <c r="F48" s="94">
        <v>49.947000000000003</v>
      </c>
      <c r="G48" s="45">
        <f t="shared" si="0"/>
        <v>49.947000000000003</v>
      </c>
      <c r="H48" s="94"/>
      <c r="I48" s="94"/>
      <c r="J48" s="94">
        <v>49.947000000000003</v>
      </c>
      <c r="K48" s="46">
        <f t="shared" si="1"/>
        <v>49.947000000000003</v>
      </c>
      <c r="L48" s="47"/>
      <c r="M48" s="48"/>
      <c r="N48" s="49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</row>
    <row r="49" spans="1:37" s="74" customFormat="1" ht="57.75" customHeight="1" thickTop="1" thickBot="1" x14ac:dyDescent="0.35">
      <c r="A49" s="41">
        <f t="shared" si="2"/>
        <v>37</v>
      </c>
      <c r="B49" s="42" t="s">
        <v>142</v>
      </c>
      <c r="C49" s="124" t="s">
        <v>143</v>
      </c>
      <c r="D49" s="94"/>
      <c r="E49" s="94"/>
      <c r="F49" s="94">
        <v>82.97</v>
      </c>
      <c r="G49" s="45">
        <f t="shared" si="0"/>
        <v>82.97</v>
      </c>
      <c r="H49" s="94"/>
      <c r="I49" s="94"/>
      <c r="J49" s="94"/>
      <c r="K49" s="46">
        <f t="shared" si="1"/>
        <v>0</v>
      </c>
      <c r="L49" s="47"/>
      <c r="M49" s="48"/>
      <c r="N49" s="49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</row>
    <row r="50" spans="1:37" s="101" customFormat="1" ht="20.25" thickTop="1" thickBot="1" x14ac:dyDescent="0.3">
      <c r="A50" s="95"/>
      <c r="B50" s="96" t="s">
        <v>62</v>
      </c>
      <c r="C50" s="97"/>
      <c r="D50" s="98">
        <f t="shared" ref="D50:K50" si="3">SUM(D13:D49)</f>
        <v>3449.9040011657003</v>
      </c>
      <c r="E50" s="98">
        <f t="shared" si="3"/>
        <v>3846.1947876971044</v>
      </c>
      <c r="F50" s="98">
        <f t="shared" si="3"/>
        <v>10629.938977840664</v>
      </c>
      <c r="G50" s="98">
        <f t="shared" si="3"/>
        <v>17926.037766703474</v>
      </c>
      <c r="H50" s="98">
        <f t="shared" si="3"/>
        <v>2505.6695580000005</v>
      </c>
      <c r="I50" s="98">
        <f t="shared" si="3"/>
        <v>5441.2973931380002</v>
      </c>
      <c r="J50" s="98">
        <f t="shared" si="3"/>
        <v>10474.011849855657</v>
      </c>
      <c r="K50" s="98">
        <f t="shared" si="3"/>
        <v>18420.978800993656</v>
      </c>
      <c r="L50" s="47">
        <f>K50+G50</f>
        <v>36347.01656769713</v>
      </c>
      <c r="M50" s="99"/>
      <c r="N50" s="100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</row>
    <row r="51" spans="1:37" x14ac:dyDescent="0.3">
      <c r="D51" s="2">
        <v>3449.9040777999999</v>
      </c>
      <c r="E51" s="2">
        <v>4054.6546326558</v>
      </c>
      <c r="F51" s="2">
        <v>10286.79005624767</v>
      </c>
      <c r="G51" s="103">
        <v>17791.348766703471</v>
      </c>
      <c r="H51" s="13">
        <v>2505.6695580000005</v>
      </c>
      <c r="I51" s="13">
        <v>5651.2103931380007</v>
      </c>
      <c r="J51" s="13">
        <v>10424.064849855657</v>
      </c>
      <c r="K51" s="103">
        <v>18580.944800993657</v>
      </c>
      <c r="L51" s="104">
        <v>36313.920567697132</v>
      </c>
      <c r="M51" s="104"/>
    </row>
    <row r="52" spans="1:37" x14ac:dyDescent="0.3">
      <c r="A52" s="105"/>
      <c r="B52" s="106" t="s">
        <v>63</v>
      </c>
      <c r="C52" s="106"/>
      <c r="D52" s="105"/>
      <c r="E52" s="105"/>
      <c r="F52" s="107">
        <v>8973.2800000000007</v>
      </c>
      <c r="G52" s="108"/>
      <c r="H52" s="105"/>
      <c r="I52" s="105"/>
      <c r="J52" s="107">
        <v>8482.1200000000008</v>
      </c>
      <c r="K52" s="108"/>
      <c r="L52" s="109">
        <f>J51-J50</f>
        <v>-49.947000000000116</v>
      </c>
      <c r="M52" s="110"/>
    </row>
    <row r="53" spans="1:37" x14ac:dyDescent="0.3">
      <c r="G53" s="111"/>
      <c r="K53" s="111"/>
      <c r="L53" s="110"/>
      <c r="M53" s="110"/>
    </row>
    <row r="54" spans="1:37" x14ac:dyDescent="0.3">
      <c r="E54" s="112" t="s">
        <v>64</v>
      </c>
      <c r="F54" s="112"/>
      <c r="G54" s="113"/>
      <c r="H54" s="105"/>
      <c r="I54" s="105"/>
      <c r="J54" s="105"/>
      <c r="K54" s="114" t="s">
        <v>65</v>
      </c>
      <c r="L54" s="115"/>
    </row>
    <row r="55" spans="1:37" x14ac:dyDescent="0.3">
      <c r="E55" s="117" t="s">
        <v>66</v>
      </c>
      <c r="F55" s="118"/>
      <c r="G55" s="113"/>
      <c r="H55" s="105"/>
      <c r="I55" s="105"/>
      <c r="J55" s="105"/>
      <c r="K55" s="119">
        <v>1658.6</v>
      </c>
      <c r="L55" s="120"/>
    </row>
    <row r="56" spans="1:37" x14ac:dyDescent="0.3">
      <c r="E56" s="117" t="s">
        <v>67</v>
      </c>
      <c r="F56" s="121"/>
      <c r="G56" s="113"/>
      <c r="H56" s="105"/>
      <c r="I56" s="105"/>
      <c r="J56" s="105"/>
      <c r="K56" s="108">
        <f>2670.61-502.7</f>
        <v>2167.9100000000003</v>
      </c>
      <c r="L56" s="109"/>
    </row>
    <row r="57" spans="1:37" x14ac:dyDescent="0.3">
      <c r="E57" s="117" t="s">
        <v>68</v>
      </c>
      <c r="F57" s="121"/>
      <c r="G57" s="113"/>
      <c r="H57" s="105"/>
      <c r="I57" s="105"/>
      <c r="J57" s="105"/>
      <c r="K57" s="108">
        <v>43.8</v>
      </c>
      <c r="L57" s="109"/>
    </row>
    <row r="58" spans="1:37" x14ac:dyDescent="0.3">
      <c r="E58" s="117" t="s">
        <v>69</v>
      </c>
      <c r="F58" s="121"/>
      <c r="G58" s="113"/>
      <c r="H58" s="105"/>
      <c r="I58" s="105"/>
      <c r="J58" s="105"/>
      <c r="K58" s="108">
        <v>5425.1</v>
      </c>
      <c r="L58" s="109"/>
    </row>
    <row r="59" spans="1:37" x14ac:dyDescent="0.3">
      <c r="E59" s="117" t="s">
        <v>70</v>
      </c>
      <c r="F59" s="121"/>
      <c r="G59" s="113"/>
      <c r="H59" s="105"/>
      <c r="I59" s="105"/>
      <c r="J59" s="105"/>
      <c r="K59" s="108">
        <v>206</v>
      </c>
      <c r="L59" s="109"/>
    </row>
    <row r="60" spans="1:37" x14ac:dyDescent="0.3">
      <c r="E60" s="117" t="s">
        <v>71</v>
      </c>
      <c r="F60" s="121"/>
      <c r="G60" s="113"/>
      <c r="H60" s="105"/>
      <c r="I60" s="105"/>
      <c r="J60" s="105"/>
      <c r="K60" s="108">
        <v>181</v>
      </c>
      <c r="L60" s="109"/>
    </row>
    <row r="61" spans="1:37" x14ac:dyDescent="0.3">
      <c r="E61" s="117" t="s">
        <v>72</v>
      </c>
      <c r="F61" s="121"/>
      <c r="G61" s="113"/>
      <c r="H61" s="105"/>
      <c r="I61" s="105"/>
      <c r="J61" s="105"/>
      <c r="K61" s="108">
        <v>273.60000000000002</v>
      </c>
      <c r="L61" s="109"/>
    </row>
    <row r="62" spans="1:37" x14ac:dyDescent="0.3">
      <c r="E62" s="112" t="s">
        <v>45</v>
      </c>
      <c r="F62" s="119"/>
      <c r="G62" s="113"/>
      <c r="H62" s="105"/>
      <c r="I62" s="105"/>
      <c r="J62" s="105"/>
      <c r="K62" s="119">
        <f>SUM(K55:K61)</f>
        <v>9956.01</v>
      </c>
      <c r="L62" s="120"/>
    </row>
    <row r="70" spans="7:7" x14ac:dyDescent="0.3">
      <c r="G70" s="122">
        <f>10*24+5*24</f>
        <v>360</v>
      </c>
    </row>
    <row r="71" spans="7:7" x14ac:dyDescent="0.3">
      <c r="G71" s="123">
        <f>G50+G70</f>
        <v>18286.037766703474</v>
      </c>
    </row>
  </sheetData>
  <autoFilter ref="A12:N52"/>
  <mergeCells count="8">
    <mergeCell ref="N9:N11"/>
    <mergeCell ref="D10:G10"/>
    <mergeCell ref="H10:K10"/>
    <mergeCell ref="A7:K7"/>
    <mergeCell ref="A9:A11"/>
    <mergeCell ref="B9:B11"/>
    <mergeCell ref="C9:C11"/>
    <mergeCell ref="D9:K9"/>
  </mergeCells>
  <conditionalFormatting sqref="B1:B1048576">
    <cfRule type="duplicateValues" dxfId="1" priority="2"/>
  </conditionalFormatting>
  <conditionalFormatting sqref="C1:C1048576">
    <cfRule type="duplicateValues" dxfId="0" priority="1"/>
  </conditionalFormatting>
  <printOptions horizontalCentered="1"/>
  <pageMargins left="0.39370078740157483" right="0.39370078740157483" top="0" bottom="0" header="0.31496062992125984" footer="0.31496062992125984"/>
  <pageSetup paperSize="9" scale="34" orientation="landscape" r:id="rId1"/>
  <colBreaks count="1" manualBreakCount="1">
    <brk id="13" max="89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Целевые показатели </vt:lpstr>
      <vt:lpstr>Приложение_1_Ввод_мощностей_КОР</vt:lpstr>
      <vt:lpstr>Приложение_1_Ввод_мощностей_КОР!Заголовки_для_печати</vt:lpstr>
      <vt:lpstr>Приложение_1_Ввод_мощностей_КОР!Область_печати</vt:lpstr>
      <vt:lpstr>'Целевые показатели 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Гришечкина Татьяна Михайловна</dc:creator>
  <cp:lastModifiedBy>Смирнова Наталья Юрьевна</cp:lastModifiedBy>
  <cp:lastPrinted>2024-12-23T13:16:38Z</cp:lastPrinted>
  <dcterms:created xsi:type="dcterms:W3CDTF">2021-08-02T11:46:00Z</dcterms:created>
  <dcterms:modified xsi:type="dcterms:W3CDTF">2025-01-10T10:12:37Z</dcterms:modified>
</cp:coreProperties>
</file>